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10\OneDrive - INSS\Área de Trabalho\Locação de Veículos\"/>
    </mc:Choice>
  </mc:AlternateContent>
  <bookViews>
    <workbookView xWindow="0" yWindow="0" windowWidth="16725" windowHeight="7755" tabRatio="940"/>
  </bookViews>
  <sheets>
    <sheet name="Proposta" sheetId="1" r:id="rId1"/>
    <sheet name="Formação de Preços" sheetId="2" r:id="rId2"/>
    <sheet name="Informações e Quantidades" sheetId="3" r:id="rId3"/>
    <sheet name="PR -1" sheetId="4" r:id="rId4"/>
    <sheet name="PR - 2" sheetId="15" r:id="rId5"/>
    <sheet name="RS - 1" sheetId="6" r:id="rId6"/>
    <sheet name="RS -2" sheetId="16" r:id="rId7"/>
    <sheet name="RS -STM" sheetId="14" r:id="rId8"/>
    <sheet name="Veículos - Custo Fixo" sheetId="7" r:id="rId9"/>
    <sheet name="Veículos - Custo Variável" sheetId="8" r:id="rId10"/>
    <sheet name="Valores e modelos Veículos" sheetId="9" r:id="rId11"/>
    <sheet name="VT, Uniforme e Plano Celular" sheetId="11" r:id="rId12"/>
    <sheet name="Pernoite, Alimentação e HE" sheetId="12" r:id="rId13"/>
    <sheet name="Combustíveis e Pedágios" sheetId="10" r:id="rId14"/>
  </sheets>
  <calcPr calcId="152511"/>
</workbook>
</file>

<file path=xl/calcChain.xml><?xml version="1.0" encoding="utf-8"?>
<calcChain xmlns="http://schemas.openxmlformats.org/spreadsheetml/2006/main">
  <c r="E34" i="1" l="1"/>
  <c r="H34" i="1"/>
  <c r="G34" i="1" s="1"/>
  <c r="I34" i="1"/>
  <c r="E35" i="1"/>
  <c r="H35" i="1"/>
  <c r="G35" i="1" s="1"/>
  <c r="I35" i="1"/>
  <c r="H36" i="1"/>
  <c r="G36" i="1" s="1"/>
  <c r="I36" i="1"/>
  <c r="E38" i="1"/>
  <c r="H38" i="1"/>
  <c r="G38" i="1" s="1"/>
  <c r="I38" i="1"/>
  <c r="E39" i="1"/>
  <c r="G39" i="1" s="1"/>
  <c r="H39" i="1"/>
  <c r="I39" i="1"/>
  <c r="I40" i="1"/>
  <c r="I41" i="1" s="1"/>
  <c r="M20" i="2"/>
  <c r="M21" i="2"/>
  <c r="M22" i="2"/>
  <c r="M19" i="2"/>
  <c r="M16" i="2"/>
  <c r="M17" i="2"/>
  <c r="M15" i="2"/>
  <c r="M13" i="2"/>
  <c r="M12" i="2"/>
  <c r="M9" i="2"/>
  <c r="M10" i="2"/>
  <c r="M8" i="2"/>
  <c r="M11" i="2" s="1"/>
  <c r="M14" i="2" l="1"/>
  <c r="N18" i="2"/>
  <c r="N14" i="2"/>
  <c r="N11" i="2"/>
  <c r="B61" i="8"/>
  <c r="B60" i="8"/>
  <c r="B59" i="8"/>
  <c r="B58" i="8"/>
  <c r="B57" i="8"/>
  <c r="B40" i="8"/>
  <c r="B39" i="8"/>
  <c r="B38" i="8"/>
  <c r="B37" i="8"/>
  <c r="B36" i="8"/>
  <c r="E12" i="2"/>
  <c r="E11" i="1"/>
  <c r="K22" i="3"/>
  <c r="K21" i="3"/>
  <c r="K20" i="3"/>
  <c r="K19" i="3"/>
  <c r="K17" i="3"/>
  <c r="K16" i="3"/>
  <c r="K15" i="3"/>
  <c r="K13" i="3"/>
  <c r="K12" i="3"/>
  <c r="K10" i="3"/>
  <c r="K9" i="3"/>
  <c r="K8" i="3"/>
  <c r="J22" i="3"/>
  <c r="J21" i="3"/>
  <c r="J20" i="3"/>
  <c r="J19" i="3"/>
  <c r="J17" i="3"/>
  <c r="J16" i="3"/>
  <c r="J15" i="3"/>
  <c r="J13" i="3"/>
  <c r="J12" i="3"/>
  <c r="J10" i="3"/>
  <c r="J9" i="3"/>
  <c r="J8" i="3"/>
  <c r="D8" i="4"/>
  <c r="D9" i="4"/>
  <c r="D15" i="4"/>
  <c r="D22" i="4"/>
  <c r="D41" i="4"/>
  <c r="D43" i="4"/>
  <c r="D79" i="4"/>
  <c r="D82" i="4"/>
  <c r="D84" i="4"/>
  <c r="D90" i="4"/>
  <c r="D91" i="4"/>
  <c r="D92" i="4"/>
  <c r="D8" i="15"/>
  <c r="D9" i="15"/>
  <c r="D15" i="15"/>
  <c r="D22" i="15"/>
  <c r="D41" i="15"/>
  <c r="D43" i="15"/>
  <c r="D79" i="15"/>
  <c r="D82" i="15"/>
  <c r="D84" i="15"/>
  <c r="D90" i="15"/>
  <c r="D91" i="15"/>
  <c r="D92" i="15"/>
  <c r="D15" i="6"/>
  <c r="D22" i="6" s="1"/>
  <c r="D41" i="6"/>
  <c r="D43" i="6"/>
  <c r="D44" i="6"/>
  <c r="D79" i="6"/>
  <c r="D82" i="6"/>
  <c r="D84" i="6"/>
  <c r="D90" i="6"/>
  <c r="D91" i="6"/>
  <c r="D92" i="6"/>
  <c r="D15" i="16"/>
  <c r="D22" i="16" s="1"/>
  <c r="D41" i="16"/>
  <c r="D43" i="16"/>
  <c r="D44" i="16"/>
  <c r="D79" i="16"/>
  <c r="D84" i="16" s="1"/>
  <c r="D82" i="16"/>
  <c r="D90" i="16"/>
  <c r="D91" i="16"/>
  <c r="D92" i="16"/>
  <c r="D7" i="14"/>
  <c r="D8" i="14"/>
  <c r="D9" i="14"/>
  <c r="D15" i="14"/>
  <c r="D22" i="14" s="1"/>
  <c r="D41" i="14"/>
  <c r="D42" i="14"/>
  <c r="D43" i="14"/>
  <c r="D44" i="14"/>
  <c r="D79" i="14"/>
  <c r="D82" i="14"/>
  <c r="D84" i="14"/>
  <c r="D90" i="14"/>
  <c r="D91" i="14"/>
  <c r="D92" i="14"/>
  <c r="F63" i="9"/>
  <c r="F10" i="7" s="1"/>
  <c r="E10" i="7" l="1"/>
  <c r="D112" i="4"/>
  <c r="D108" i="15"/>
  <c r="D116" i="6"/>
  <c r="D116" i="16"/>
  <c r="D108" i="14"/>
  <c r="D69" i="14"/>
  <c r="B19" i="10" l="1"/>
  <c r="D19" i="10"/>
  <c r="B25" i="9" l="1"/>
  <c r="B24" i="9"/>
  <c r="V22" i="2" l="1"/>
  <c r="V21" i="2"/>
  <c r="V20" i="2"/>
  <c r="V19" i="2"/>
  <c r="V17" i="2"/>
  <c r="V16" i="2"/>
  <c r="V15" i="2"/>
  <c r="V13" i="2"/>
  <c r="V12" i="2"/>
  <c r="V10" i="2"/>
  <c r="V9" i="2"/>
  <c r="V8" i="2"/>
  <c r="P22" i="2"/>
  <c r="P20" i="2"/>
  <c r="P19" i="2"/>
  <c r="P17" i="2"/>
  <c r="P16" i="2"/>
  <c r="P15" i="2"/>
  <c r="P13" i="2"/>
  <c r="P12" i="2"/>
  <c r="P10" i="2"/>
  <c r="P9" i="2"/>
  <c r="P8" i="2"/>
  <c r="N22" i="2"/>
  <c r="N21" i="2"/>
  <c r="N20" i="2"/>
  <c r="N19" i="2"/>
  <c r="N17" i="2"/>
  <c r="N16" i="2"/>
  <c r="N15" i="2"/>
  <c r="N13" i="2"/>
  <c r="N12" i="2"/>
  <c r="N10" i="2"/>
  <c r="N9" i="2"/>
  <c r="N8" i="2"/>
  <c r="K20" i="2"/>
  <c r="K21" i="2"/>
  <c r="K22" i="2"/>
  <c r="K19" i="2"/>
  <c r="K16" i="2"/>
  <c r="K17" i="2"/>
  <c r="K15" i="2"/>
  <c r="K13" i="2"/>
  <c r="K12" i="2"/>
  <c r="K9" i="2"/>
  <c r="K10" i="2"/>
  <c r="K8" i="2"/>
  <c r="G20" i="2"/>
  <c r="I20" i="2" s="1"/>
  <c r="G21" i="2"/>
  <c r="I21" i="2" s="1"/>
  <c r="G22" i="2"/>
  <c r="I22" i="2" s="1"/>
  <c r="G19" i="2"/>
  <c r="E46" i="1" s="1"/>
  <c r="G16" i="2"/>
  <c r="I16" i="2" s="1"/>
  <c r="G17" i="2"/>
  <c r="I17" i="2" s="1"/>
  <c r="G15" i="2"/>
  <c r="G13" i="2"/>
  <c r="I13" i="2" s="1"/>
  <c r="G12" i="2"/>
  <c r="I12" i="2" s="1"/>
  <c r="G9" i="2"/>
  <c r="I9" i="2" s="1"/>
  <c r="G10" i="2"/>
  <c r="I10" i="2" s="1"/>
  <c r="G8" i="2"/>
  <c r="B107" i="4"/>
  <c r="B106" i="4"/>
  <c r="B123" i="4"/>
  <c r="B122" i="4"/>
  <c r="B103" i="15"/>
  <c r="B116" i="15"/>
  <c r="B130" i="16"/>
  <c r="B129" i="16"/>
  <c r="B128" i="16"/>
  <c r="B111" i="16"/>
  <c r="B110" i="16"/>
  <c r="B109" i="16"/>
  <c r="F129" i="6"/>
  <c r="F128" i="6"/>
  <c r="B130" i="6"/>
  <c r="B129" i="6"/>
  <c r="B128" i="6"/>
  <c r="B111" i="6"/>
  <c r="B109" i="6"/>
  <c r="B110" i="6"/>
  <c r="B100" i="15"/>
  <c r="B40" i="14"/>
  <c r="D40" i="14" s="1"/>
  <c r="D46" i="14" s="1"/>
  <c r="D50" i="14" s="1"/>
  <c r="B89" i="4"/>
  <c r="D89" i="4" s="1"/>
  <c r="B40" i="4"/>
  <c r="D40" i="4" s="1"/>
  <c r="M20" i="3"/>
  <c r="U20" i="2" s="1"/>
  <c r="M21" i="3"/>
  <c r="U21" i="2" s="1"/>
  <c r="M22" i="3"/>
  <c r="U22" i="2" s="1"/>
  <c r="M19" i="3"/>
  <c r="U19" i="2" s="1"/>
  <c r="M16" i="3"/>
  <c r="U16" i="2" s="1"/>
  <c r="M17" i="3"/>
  <c r="U17" i="2" s="1"/>
  <c r="M15" i="3"/>
  <c r="U15" i="2" s="1"/>
  <c r="M13" i="3"/>
  <c r="U13" i="2" s="1"/>
  <c r="M12" i="3"/>
  <c r="U12" i="2" s="1"/>
  <c r="M9" i="3"/>
  <c r="U9" i="2" s="1"/>
  <c r="M10" i="3"/>
  <c r="U10" i="2" s="1"/>
  <c r="M8" i="3"/>
  <c r="U8" i="2" s="1"/>
  <c r="D11" i="12"/>
  <c r="E11" i="12"/>
  <c r="F11" i="12"/>
  <c r="D18" i="12"/>
  <c r="D23" i="12" s="1"/>
  <c r="E18" i="12"/>
  <c r="E23" i="12" s="1"/>
  <c r="F18" i="12"/>
  <c r="F23" i="12" s="1"/>
  <c r="C18" i="12"/>
  <c r="F14" i="12"/>
  <c r="E14" i="12"/>
  <c r="D14" i="12"/>
  <c r="C14" i="12"/>
  <c r="D32" i="12" s="1"/>
  <c r="D33" i="12" s="1"/>
  <c r="C11" i="12"/>
  <c r="K18" i="2" l="1"/>
  <c r="M18" i="2"/>
  <c r="U18" i="2"/>
  <c r="U34" i="2" s="1"/>
  <c r="K11" i="2"/>
  <c r="U11" i="2"/>
  <c r="U26" i="2" s="1"/>
  <c r="U14" i="2"/>
  <c r="U30" i="2" s="1"/>
  <c r="G18" i="2"/>
  <c r="K14" i="2"/>
  <c r="K23" i="2"/>
  <c r="M23" i="2"/>
  <c r="U23" i="2"/>
  <c r="U38" i="2" s="1"/>
  <c r="I15" i="2"/>
  <c r="I18" i="2" s="1"/>
  <c r="G11" i="2"/>
  <c r="G23" i="2"/>
  <c r="I19" i="2"/>
  <c r="I14" i="2"/>
  <c r="G14" i="2"/>
  <c r="I8" i="2"/>
  <c r="I11" i="2" s="1"/>
  <c r="E7" i="11"/>
  <c r="E11" i="11"/>
  <c r="D11" i="11"/>
  <c r="L19" i="3"/>
  <c r="S19" i="2" s="1"/>
  <c r="O9" i="2"/>
  <c r="O10" i="2"/>
  <c r="Q16" i="2"/>
  <c r="Q17" i="2"/>
  <c r="Q9" i="2"/>
  <c r="Q10" i="2"/>
  <c r="H23" i="3"/>
  <c r="H18" i="3"/>
  <c r="H14" i="3"/>
  <c r="H11" i="3"/>
  <c r="F11" i="3"/>
  <c r="F14" i="3"/>
  <c r="F18" i="3"/>
  <c r="F23" i="3"/>
  <c r="I23" i="3"/>
  <c r="I18" i="3"/>
  <c r="I14" i="3"/>
  <c r="I11" i="3"/>
  <c r="G23" i="3"/>
  <c r="G18" i="3"/>
  <c r="G14" i="3"/>
  <c r="E47" i="1" l="1"/>
  <c r="G38" i="2"/>
  <c r="E48" i="1"/>
  <c r="K38" i="2"/>
  <c r="E16" i="1"/>
  <c r="I26" i="2"/>
  <c r="E12" i="1"/>
  <c r="G26" i="2"/>
  <c r="E17" i="1"/>
  <c r="M26" i="2"/>
  <c r="E24" i="1"/>
  <c r="K30" i="2"/>
  <c r="M34" i="2"/>
  <c r="G34" i="2"/>
  <c r="E13" i="1"/>
  <c r="K26" i="2"/>
  <c r="E23" i="1"/>
  <c r="G30" i="2"/>
  <c r="I34" i="2"/>
  <c r="E52" i="1"/>
  <c r="M38" i="2"/>
  <c r="K34" i="2"/>
  <c r="E27" i="1"/>
  <c r="I30" i="2"/>
  <c r="E28" i="1"/>
  <c r="M30" i="2"/>
  <c r="U42" i="2"/>
  <c r="I23" i="2"/>
  <c r="G11" i="3"/>
  <c r="E11" i="3"/>
  <c r="B107" i="16"/>
  <c r="B106" i="16" s="1"/>
  <c r="B104" i="16"/>
  <c r="B103" i="16" s="1"/>
  <c r="B100" i="16"/>
  <c r="B93" i="16"/>
  <c r="D93" i="16" s="1"/>
  <c r="C92" i="16"/>
  <c r="C91" i="16"/>
  <c r="C90" i="16"/>
  <c r="B89" i="16"/>
  <c r="D89" i="16" s="1"/>
  <c r="D94" i="16" s="1"/>
  <c r="D120" i="16" s="1"/>
  <c r="C82" i="16"/>
  <c r="B82" i="16"/>
  <c r="C79" i="16"/>
  <c r="C84" i="16" s="1"/>
  <c r="B79" i="16"/>
  <c r="B84" i="16" s="1"/>
  <c r="B75" i="16"/>
  <c r="B76" i="16" s="1"/>
  <c r="B83" i="16" s="1"/>
  <c r="B68" i="16"/>
  <c r="B67" i="16"/>
  <c r="B66" i="16"/>
  <c r="B65" i="16"/>
  <c r="B60" i="16"/>
  <c r="D60" i="16" s="1"/>
  <c r="B58" i="16"/>
  <c r="D58" i="16" s="1"/>
  <c r="B55" i="16"/>
  <c r="C44" i="16"/>
  <c r="C43" i="16"/>
  <c r="C42" i="16"/>
  <c r="D42" i="16" s="1"/>
  <c r="C41" i="16"/>
  <c r="B38" i="16"/>
  <c r="B49" i="16" s="1"/>
  <c r="B27" i="16"/>
  <c r="D27" i="16" s="1"/>
  <c r="B26" i="16"/>
  <c r="D26" i="16" s="1"/>
  <c r="C15" i="16"/>
  <c r="C22" i="16" s="1"/>
  <c r="B93" i="15"/>
  <c r="C92" i="15"/>
  <c r="C91" i="15"/>
  <c r="C90" i="15"/>
  <c r="B89" i="15"/>
  <c r="D89" i="15" s="1"/>
  <c r="C82" i="15"/>
  <c r="B82" i="15"/>
  <c r="C79" i="15"/>
  <c r="C84" i="15" s="1"/>
  <c r="B79" i="15"/>
  <c r="B84" i="15" s="1"/>
  <c r="B75" i="15"/>
  <c r="B76" i="15" s="1"/>
  <c r="B83" i="15" s="1"/>
  <c r="B68" i="15"/>
  <c r="B67" i="15"/>
  <c r="B66" i="15"/>
  <c r="B65" i="15"/>
  <c r="B60" i="15"/>
  <c r="D60" i="15" s="1"/>
  <c r="B58" i="15"/>
  <c r="D58" i="15" s="1"/>
  <c r="B55" i="15"/>
  <c r="C44" i="15"/>
  <c r="D44" i="15" s="1"/>
  <c r="C43" i="15"/>
  <c r="C41" i="15"/>
  <c r="B38" i="15"/>
  <c r="B49" i="15" s="1"/>
  <c r="B27" i="15"/>
  <c r="D27" i="15" s="1"/>
  <c r="B26" i="15"/>
  <c r="D26" i="15" s="1"/>
  <c r="C15" i="15"/>
  <c r="C93" i="15" l="1"/>
  <c r="D93" i="15"/>
  <c r="D94" i="15" s="1"/>
  <c r="D112" i="15" s="1"/>
  <c r="B56" i="15"/>
  <c r="D56" i="15" s="1"/>
  <c r="D55" i="15"/>
  <c r="D28" i="15"/>
  <c r="B56" i="16"/>
  <c r="D56" i="16" s="1"/>
  <c r="D55" i="16"/>
  <c r="D28" i="16"/>
  <c r="D69" i="16"/>
  <c r="E51" i="1"/>
  <c r="I38" i="2"/>
  <c r="I42" i="2" s="1"/>
  <c r="G42" i="2"/>
  <c r="M42" i="2"/>
  <c r="K42" i="2"/>
  <c r="B28" i="16"/>
  <c r="B48" i="16" s="1"/>
  <c r="B59" i="16"/>
  <c r="B70" i="16"/>
  <c r="B81" i="16" s="1"/>
  <c r="B28" i="15"/>
  <c r="B48" i="15" s="1"/>
  <c r="C27" i="15"/>
  <c r="C22" i="15"/>
  <c r="C58" i="15" s="1"/>
  <c r="C89" i="15"/>
  <c r="C94" i="15" s="1"/>
  <c r="C112" i="15" s="1"/>
  <c r="C26" i="15"/>
  <c r="B59" i="15"/>
  <c r="B70" i="15"/>
  <c r="B81" i="15" s="1"/>
  <c r="C56" i="16"/>
  <c r="C69" i="16"/>
  <c r="C116" i="16"/>
  <c r="C57" i="16"/>
  <c r="D57" i="16" s="1"/>
  <c r="C55" i="16"/>
  <c r="C58" i="16"/>
  <c r="C89" i="16"/>
  <c r="C26" i="16"/>
  <c r="C93" i="16"/>
  <c r="C27" i="16"/>
  <c r="C60" i="16"/>
  <c r="D56" i="11"/>
  <c r="G22" i="12"/>
  <c r="G16" i="12"/>
  <c r="G17" i="12"/>
  <c r="G19" i="12"/>
  <c r="G20" i="12"/>
  <c r="G15" i="12"/>
  <c r="H32" i="12" s="1"/>
  <c r="C41" i="6"/>
  <c r="C42" i="14"/>
  <c r="B61" i="15" l="1"/>
  <c r="D59" i="15"/>
  <c r="D48" i="15"/>
  <c r="D31" i="15"/>
  <c r="D34" i="15"/>
  <c r="D30" i="15"/>
  <c r="D37" i="15"/>
  <c r="D36" i="15"/>
  <c r="D35" i="15"/>
  <c r="D33" i="15"/>
  <c r="D32" i="15"/>
  <c r="D61" i="15"/>
  <c r="D110" i="15" s="1"/>
  <c r="D48" i="16"/>
  <c r="D33" i="16"/>
  <c r="D31" i="16"/>
  <c r="D37" i="16"/>
  <c r="D34" i="16"/>
  <c r="D35" i="16"/>
  <c r="D36" i="16"/>
  <c r="D30" i="16"/>
  <c r="D38" i="16" s="1"/>
  <c r="D49" i="16" s="1"/>
  <c r="D32" i="16"/>
  <c r="C59" i="16"/>
  <c r="D59" i="16"/>
  <c r="D61" i="16"/>
  <c r="D118" i="16" s="1"/>
  <c r="C28" i="15"/>
  <c r="C48" i="15" s="1"/>
  <c r="B61" i="16"/>
  <c r="C56" i="15"/>
  <c r="C60" i="15"/>
  <c r="C30" i="15"/>
  <c r="C108" i="15"/>
  <c r="C59" i="15"/>
  <c r="C33" i="15"/>
  <c r="C55" i="15"/>
  <c r="C57" i="15"/>
  <c r="D57" i="15" s="1"/>
  <c r="C35" i="15"/>
  <c r="C32" i="15"/>
  <c r="C37" i="15"/>
  <c r="C34" i="15"/>
  <c r="C31" i="15"/>
  <c r="C36" i="15"/>
  <c r="G18" i="12"/>
  <c r="G23" i="12" s="1"/>
  <c r="H33" i="12" s="1"/>
  <c r="C94" i="16"/>
  <c r="C120" i="16" s="1"/>
  <c r="C28" i="16"/>
  <c r="C61" i="16"/>
  <c r="C118" i="16" s="1"/>
  <c r="G21" i="12"/>
  <c r="G24" i="12" s="1"/>
  <c r="I32" i="12" s="1"/>
  <c r="I33" i="12" s="1"/>
  <c r="F24" i="12"/>
  <c r="E24" i="12"/>
  <c r="D24" i="12"/>
  <c r="C24" i="12"/>
  <c r="F32" i="12" s="1"/>
  <c r="F33" i="12" s="1"/>
  <c r="C23" i="12"/>
  <c r="E32" i="12" s="1"/>
  <c r="E33" i="12" s="1"/>
  <c r="D49" i="11"/>
  <c r="E49" i="11"/>
  <c r="D50" i="11"/>
  <c r="E50" i="11"/>
  <c r="D48" i="11"/>
  <c r="E48" i="11" s="1"/>
  <c r="C44" i="14"/>
  <c r="D38" i="15" l="1"/>
  <c r="D49" i="15" s="1"/>
  <c r="C61" i="15"/>
  <c r="C110" i="15" s="1"/>
  <c r="C38" i="15"/>
  <c r="C49" i="15" s="1"/>
  <c r="C48" i="16"/>
  <c r="C33" i="16"/>
  <c r="C32" i="16"/>
  <c r="C37" i="16"/>
  <c r="C36" i="16"/>
  <c r="C35" i="16"/>
  <c r="C31" i="16"/>
  <c r="C30" i="16"/>
  <c r="C34" i="16"/>
  <c r="E51" i="11"/>
  <c r="B89" i="14" s="1"/>
  <c r="D89" i="14" s="1"/>
  <c r="F37" i="12"/>
  <c r="C38" i="16" l="1"/>
  <c r="C49" i="16" s="1"/>
  <c r="F38" i="12"/>
  <c r="B100" i="14" l="1"/>
  <c r="B93" i="14"/>
  <c r="D93" i="14" s="1"/>
  <c r="D94" i="14" s="1"/>
  <c r="D112" i="14" s="1"/>
  <c r="C92" i="14"/>
  <c r="C91" i="14"/>
  <c r="C90" i="14"/>
  <c r="C82" i="14"/>
  <c r="B82" i="14"/>
  <c r="C79" i="14"/>
  <c r="C84" i="14" s="1"/>
  <c r="B79" i="14"/>
  <c r="B84" i="14" s="1"/>
  <c r="B75" i="14"/>
  <c r="B76" i="14" s="1"/>
  <c r="B83" i="14" s="1"/>
  <c r="B68" i="14"/>
  <c r="B67" i="14"/>
  <c r="B66" i="14"/>
  <c r="B65" i="14"/>
  <c r="B60" i="14"/>
  <c r="D60" i="14" s="1"/>
  <c r="B58" i="14"/>
  <c r="D58" i="14" s="1"/>
  <c r="B55" i="14"/>
  <c r="C43" i="14"/>
  <c r="C41" i="14"/>
  <c r="B38" i="14"/>
  <c r="B49" i="14" s="1"/>
  <c r="B27" i="14"/>
  <c r="D27" i="14" s="1"/>
  <c r="B26" i="14"/>
  <c r="D26" i="14" s="1"/>
  <c r="D28" i="14" s="1"/>
  <c r="C15" i="14"/>
  <c r="D48" i="14" l="1"/>
  <c r="D30" i="14"/>
  <c r="D33" i="14"/>
  <c r="D34" i="14"/>
  <c r="D37" i="14"/>
  <c r="D32" i="14"/>
  <c r="D31" i="14"/>
  <c r="D36" i="14"/>
  <c r="D35" i="14"/>
  <c r="B56" i="14"/>
  <c r="D56" i="14" s="1"/>
  <c r="D55" i="14"/>
  <c r="C27" i="14"/>
  <c r="B59" i="14"/>
  <c r="D59" i="14" s="1"/>
  <c r="C26" i="14"/>
  <c r="C22" i="14"/>
  <c r="C58" i="14" s="1"/>
  <c r="B28" i="14"/>
  <c r="B48" i="14" s="1"/>
  <c r="B70" i="14"/>
  <c r="B81" i="14" s="1"/>
  <c r="C89" i="14"/>
  <c r="B61" i="14"/>
  <c r="C93" i="14"/>
  <c r="D17" i="11"/>
  <c r="B93" i="6"/>
  <c r="B93" i="4"/>
  <c r="D93" i="4" s="1"/>
  <c r="D94" i="4" s="1"/>
  <c r="D116" i="4" s="1"/>
  <c r="E22" i="2"/>
  <c r="E19" i="2"/>
  <c r="E15" i="2"/>
  <c r="E10" i="2"/>
  <c r="E9" i="2"/>
  <c r="E8" i="2"/>
  <c r="C51" i="12"/>
  <c r="C48" i="12"/>
  <c r="C45" i="12"/>
  <c r="C42" i="12"/>
  <c r="C39" i="12"/>
  <c r="G13" i="12"/>
  <c r="G12" i="12"/>
  <c r="G14" i="12" s="1"/>
  <c r="G10" i="12"/>
  <c r="G9" i="12"/>
  <c r="G8" i="12"/>
  <c r="D43" i="11"/>
  <c r="E43" i="11" s="1"/>
  <c r="E42" i="11"/>
  <c r="D42" i="11"/>
  <c r="D41" i="11"/>
  <c r="E41" i="11" s="1"/>
  <c r="D36" i="11"/>
  <c r="E36" i="11" s="1"/>
  <c r="D35" i="11"/>
  <c r="E35" i="11" s="1"/>
  <c r="E34" i="11"/>
  <c r="D34" i="11"/>
  <c r="E25" i="11"/>
  <c r="E22" i="11"/>
  <c r="E13" i="11"/>
  <c r="E10" i="11"/>
  <c r="E9" i="11"/>
  <c r="E8" i="11"/>
  <c r="D13" i="8"/>
  <c r="F13" i="8"/>
  <c r="D9" i="10"/>
  <c r="C13" i="8" s="1"/>
  <c r="C9" i="10"/>
  <c r="E13" i="8" s="1"/>
  <c r="D54" i="9"/>
  <c r="C54" i="9"/>
  <c r="B54" i="9"/>
  <c r="F53" i="9"/>
  <c r="F52" i="9"/>
  <c r="F51" i="9"/>
  <c r="F45" i="9"/>
  <c r="F44" i="9"/>
  <c r="F26" i="9"/>
  <c r="D25" i="9"/>
  <c r="C25" i="9"/>
  <c r="D24" i="9"/>
  <c r="C24" i="9"/>
  <c r="D22" i="9"/>
  <c r="D34" i="9" s="1"/>
  <c r="C22" i="9"/>
  <c r="C34" i="9" s="1"/>
  <c r="B22" i="9"/>
  <c r="B28" i="9" s="1"/>
  <c r="F21" i="9"/>
  <c r="F20" i="9"/>
  <c r="F19" i="9"/>
  <c r="F13" i="9"/>
  <c r="F12" i="9"/>
  <c r="B34" i="8"/>
  <c r="B33" i="8" s="1"/>
  <c r="B31" i="8"/>
  <c r="B30" i="8" s="1"/>
  <c r="B28" i="8"/>
  <c r="B27" i="8" s="1"/>
  <c r="B25" i="8"/>
  <c r="B24" i="8" s="1"/>
  <c r="B21" i="8"/>
  <c r="F11" i="8"/>
  <c r="E11" i="8"/>
  <c r="D11" i="8"/>
  <c r="C11" i="8"/>
  <c r="B36" i="7"/>
  <c r="B35" i="7" s="1"/>
  <c r="B33" i="7"/>
  <c r="B32" i="7" s="1"/>
  <c r="B30" i="7"/>
  <c r="B29" i="7" s="1"/>
  <c r="B27" i="7"/>
  <c r="B26" i="7" s="1"/>
  <c r="B23" i="7"/>
  <c r="B107" i="6"/>
  <c r="B106" i="6" s="1"/>
  <c r="B104" i="6"/>
  <c r="B103" i="6" s="1"/>
  <c r="B100" i="6"/>
  <c r="C92" i="6"/>
  <c r="C91" i="6"/>
  <c r="C90" i="6"/>
  <c r="C82" i="6"/>
  <c r="B82" i="6"/>
  <c r="C79" i="6"/>
  <c r="C84" i="6" s="1"/>
  <c r="B79" i="6"/>
  <c r="B84" i="6" s="1"/>
  <c r="B75" i="6"/>
  <c r="B76" i="6" s="1"/>
  <c r="B83" i="6" s="1"/>
  <c r="B68" i="6"/>
  <c r="B67" i="6"/>
  <c r="B66" i="6"/>
  <c r="B65" i="6"/>
  <c r="B70" i="6" s="1"/>
  <c r="B81" i="6" s="1"/>
  <c r="B60" i="6"/>
  <c r="D60" i="6" s="1"/>
  <c r="B58" i="6"/>
  <c r="D58" i="6" s="1"/>
  <c r="B55" i="6"/>
  <c r="D55" i="6" s="1"/>
  <c r="C44" i="6"/>
  <c r="C43" i="6"/>
  <c r="C42" i="6"/>
  <c r="D42" i="6" s="1"/>
  <c r="B38" i="6"/>
  <c r="B49" i="6" s="1"/>
  <c r="B27" i="6"/>
  <c r="D27" i="6" s="1"/>
  <c r="B26" i="6"/>
  <c r="D26" i="6" s="1"/>
  <c r="D28" i="6" s="1"/>
  <c r="C15" i="6"/>
  <c r="C22" i="6" s="1"/>
  <c r="B104" i="4"/>
  <c r="B103" i="4" s="1"/>
  <c r="B100" i="4"/>
  <c r="C92" i="4"/>
  <c r="C91" i="4"/>
  <c r="C90" i="4"/>
  <c r="C82" i="4"/>
  <c r="B82" i="4"/>
  <c r="C79" i="4"/>
  <c r="C84" i="4" s="1"/>
  <c r="B79" i="4"/>
  <c r="B84" i="4" s="1"/>
  <c r="B75" i="4"/>
  <c r="B76" i="4" s="1"/>
  <c r="B83" i="4" s="1"/>
  <c r="B68" i="4"/>
  <c r="B67" i="4"/>
  <c r="B66" i="4"/>
  <c r="B65" i="4"/>
  <c r="B60" i="4"/>
  <c r="D60" i="4" s="1"/>
  <c r="B58" i="4"/>
  <c r="D58" i="4" s="1"/>
  <c r="B55" i="4"/>
  <c r="C44" i="4"/>
  <c r="D44" i="4" s="1"/>
  <c r="D46" i="4" s="1"/>
  <c r="D50" i="4" s="1"/>
  <c r="C43" i="4"/>
  <c r="C41" i="4"/>
  <c r="B38" i="4"/>
  <c r="B49" i="4" s="1"/>
  <c r="B27" i="4"/>
  <c r="D27" i="4" s="1"/>
  <c r="B26" i="4"/>
  <c r="D26" i="4" s="1"/>
  <c r="D28" i="4" s="1"/>
  <c r="C15" i="4"/>
  <c r="N22" i="3"/>
  <c r="W22" i="2" s="1"/>
  <c r="L22" i="3"/>
  <c r="S22" i="2" s="1"/>
  <c r="O22" i="2"/>
  <c r="Q22" i="2"/>
  <c r="N21" i="3"/>
  <c r="W21" i="2" s="1"/>
  <c r="D24" i="11"/>
  <c r="N20" i="3"/>
  <c r="W20" i="2" s="1"/>
  <c r="L20" i="3"/>
  <c r="Q20" i="2"/>
  <c r="N19" i="3"/>
  <c r="N17" i="3"/>
  <c r="W17" i="2" s="1"/>
  <c r="L17" i="3"/>
  <c r="S17" i="2" s="1"/>
  <c r="N16" i="3"/>
  <c r="W16" i="2" s="1"/>
  <c r="E18" i="3"/>
  <c r="N15" i="3"/>
  <c r="L15" i="3"/>
  <c r="N13" i="3"/>
  <c r="W13" i="2" s="1"/>
  <c r="O13" i="2"/>
  <c r="Q13" i="2"/>
  <c r="N12" i="3"/>
  <c r="L12" i="3"/>
  <c r="N10" i="3"/>
  <c r="W10" i="2" s="1"/>
  <c r="L10" i="3"/>
  <c r="S10" i="2" s="1"/>
  <c r="N9" i="3"/>
  <c r="W9" i="2" s="1"/>
  <c r="L9" i="3"/>
  <c r="S9" i="2" s="1"/>
  <c r="N8" i="3"/>
  <c r="M11" i="3"/>
  <c r="L8" i="3"/>
  <c r="C28" i="9" l="1"/>
  <c r="F54" i="9"/>
  <c r="Q19" i="2"/>
  <c r="S20" i="2"/>
  <c r="S8" i="2"/>
  <c r="S11" i="2" s="1"/>
  <c r="S26" i="2" s="1"/>
  <c r="L11" i="3"/>
  <c r="S15" i="2"/>
  <c r="W19" i="2"/>
  <c r="N23" i="3"/>
  <c r="Q8" i="2"/>
  <c r="J11" i="3"/>
  <c r="W8" i="2"/>
  <c r="N11" i="3"/>
  <c r="W12" i="2"/>
  <c r="N14" i="3"/>
  <c r="Q15" i="2"/>
  <c r="J18" i="3"/>
  <c r="O8" i="2"/>
  <c r="K11" i="3"/>
  <c r="Q12" i="2"/>
  <c r="Q14" i="2" s="1"/>
  <c r="Q30" i="2" s="1"/>
  <c r="J14" i="3"/>
  <c r="O15" i="2"/>
  <c r="O19" i="2"/>
  <c r="O12" i="2"/>
  <c r="K14" i="3"/>
  <c r="S12" i="2"/>
  <c r="W15" i="2"/>
  <c r="N18" i="3"/>
  <c r="B56" i="4"/>
  <c r="D56" i="4" s="1"/>
  <c r="D55" i="4"/>
  <c r="D30" i="4"/>
  <c r="D48" i="4"/>
  <c r="D34" i="4"/>
  <c r="D31" i="4"/>
  <c r="D32" i="4"/>
  <c r="D35" i="4"/>
  <c r="D33" i="4"/>
  <c r="D36" i="4"/>
  <c r="D37" i="4"/>
  <c r="B70" i="4"/>
  <c r="B81" i="4" s="1"/>
  <c r="D69" i="6"/>
  <c r="D48" i="6"/>
  <c r="D34" i="6"/>
  <c r="D35" i="6"/>
  <c r="D32" i="6"/>
  <c r="D37" i="6"/>
  <c r="D36" i="6"/>
  <c r="D30" i="6"/>
  <c r="D31" i="6"/>
  <c r="D33" i="6"/>
  <c r="C93" i="6"/>
  <c r="D93" i="6"/>
  <c r="D38" i="14"/>
  <c r="D49" i="14" s="1"/>
  <c r="D51" i="14"/>
  <c r="C27" i="4"/>
  <c r="B59" i="4"/>
  <c r="D59" i="4" s="1"/>
  <c r="B28" i="4"/>
  <c r="B48" i="4" s="1"/>
  <c r="D23" i="9"/>
  <c r="F25" i="9"/>
  <c r="D11" i="7" s="1"/>
  <c r="C27" i="9"/>
  <c r="P14" i="2"/>
  <c r="M23" i="3"/>
  <c r="M14" i="3"/>
  <c r="M18" i="3"/>
  <c r="G32" i="12"/>
  <c r="G33" i="12"/>
  <c r="G11" i="12"/>
  <c r="E23" i="3"/>
  <c r="L13" i="3"/>
  <c r="S13" i="2" s="1"/>
  <c r="E14" i="3"/>
  <c r="E11" i="2"/>
  <c r="E26" i="2" s="1"/>
  <c r="E44" i="11"/>
  <c r="B89" i="6" s="1"/>
  <c r="D89" i="6" s="1"/>
  <c r="D94" i="6" s="1"/>
  <c r="D120" i="6" s="1"/>
  <c r="E37" i="11"/>
  <c r="O21" i="2"/>
  <c r="Q21" i="2"/>
  <c r="E17" i="11"/>
  <c r="O17" i="2"/>
  <c r="L21" i="3"/>
  <c r="S21" i="2" s="1"/>
  <c r="C26" i="4"/>
  <c r="C28" i="4" s="1"/>
  <c r="C48" i="4" s="1"/>
  <c r="F50" i="12"/>
  <c r="F49" i="12"/>
  <c r="F52" i="12"/>
  <c r="F51" i="12"/>
  <c r="F58" i="12" s="1"/>
  <c r="F68" i="12" s="1"/>
  <c r="F53" i="12"/>
  <c r="I37" i="12"/>
  <c r="I38" i="12" s="1"/>
  <c r="F45" i="12"/>
  <c r="F56" i="12" s="1"/>
  <c r="F66" i="12" s="1"/>
  <c r="F46" i="12"/>
  <c r="F47" i="12"/>
  <c r="F43" i="12"/>
  <c r="F42" i="12"/>
  <c r="F55" i="12" s="1"/>
  <c r="F65" i="12" s="1"/>
  <c r="F44" i="12"/>
  <c r="F48" i="12"/>
  <c r="F57" i="12" s="1"/>
  <c r="F67" i="12" s="1"/>
  <c r="H37" i="12"/>
  <c r="F41" i="12"/>
  <c r="F39" i="12"/>
  <c r="F54" i="12" s="1"/>
  <c r="F64" i="12" s="1"/>
  <c r="F40" i="12"/>
  <c r="C93" i="4"/>
  <c r="C28" i="14"/>
  <c r="C35" i="14" s="1"/>
  <c r="C69" i="14"/>
  <c r="C40" i="14"/>
  <c r="C46" i="14" s="1"/>
  <c r="C50" i="14" s="1"/>
  <c r="C94" i="14"/>
  <c r="C112" i="14" s="1"/>
  <c r="C60" i="14"/>
  <c r="C55" i="14"/>
  <c r="C56" i="14"/>
  <c r="C59" i="14"/>
  <c r="C31" i="14"/>
  <c r="C48" i="14"/>
  <c r="C37" i="14"/>
  <c r="C36" i="14"/>
  <c r="C108" i="14"/>
  <c r="C32" i="14"/>
  <c r="C57" i="14"/>
  <c r="D57" i="14" s="1"/>
  <c r="D61" i="14" s="1"/>
  <c r="D110" i="14" s="1"/>
  <c r="C34" i="14"/>
  <c r="C33" i="14"/>
  <c r="C30" i="14"/>
  <c r="D18" i="11"/>
  <c r="E16" i="2"/>
  <c r="L16" i="3"/>
  <c r="S16" i="2" s="1"/>
  <c r="O16" i="2"/>
  <c r="D14" i="11"/>
  <c r="D15" i="11" s="1"/>
  <c r="E13" i="2"/>
  <c r="E14" i="2" s="1"/>
  <c r="E30" i="2" s="1"/>
  <c r="D23" i="11"/>
  <c r="E20" i="2"/>
  <c r="C22" i="4"/>
  <c r="C60" i="4" s="1"/>
  <c r="C60" i="6"/>
  <c r="D19" i="11"/>
  <c r="E19" i="11" s="1"/>
  <c r="E17" i="2"/>
  <c r="C116" i="6"/>
  <c r="C69" i="6"/>
  <c r="C27" i="6"/>
  <c r="C57" i="6"/>
  <c r="D57" i="6" s="1"/>
  <c r="B28" i="6"/>
  <c r="B48" i="6" s="1"/>
  <c r="C26" i="6"/>
  <c r="O20" i="2"/>
  <c r="E24" i="11"/>
  <c r="E21" i="2"/>
  <c r="C58" i="6"/>
  <c r="B56" i="6"/>
  <c r="D56" i="6" s="1"/>
  <c r="D61" i="6" s="1"/>
  <c r="D118" i="6" s="1"/>
  <c r="B59" i="6"/>
  <c r="D59" i="6" s="1"/>
  <c r="F24" i="9"/>
  <c r="C11" i="7" s="1"/>
  <c r="C55" i="6"/>
  <c r="D28" i="9"/>
  <c r="F28" i="9" s="1"/>
  <c r="D13" i="7" s="1"/>
  <c r="D27" i="9"/>
  <c r="D33" i="9"/>
  <c r="F22" i="9"/>
  <c r="D37" i="12"/>
  <c r="E37" i="12"/>
  <c r="B23" i="9"/>
  <c r="D12" i="7"/>
  <c r="C12" i="7"/>
  <c r="B33" i="9"/>
  <c r="B34" i="9"/>
  <c r="G34" i="9" s="1"/>
  <c r="B55" i="9"/>
  <c r="C23" i="9"/>
  <c r="B27" i="9"/>
  <c r="C33" i="9"/>
  <c r="B56" i="9"/>
  <c r="C55" i="9"/>
  <c r="C56" i="9"/>
  <c r="D55" i="9"/>
  <c r="D56" i="9"/>
  <c r="F27" i="9" l="1"/>
  <c r="C13" i="7" s="1"/>
  <c r="G33" i="9"/>
  <c r="L14" i="3"/>
  <c r="K23" i="3"/>
  <c r="K18" i="3"/>
  <c r="J23" i="3"/>
  <c r="Q23" i="2"/>
  <c r="Q38" i="2" s="1"/>
  <c r="L23" i="3"/>
  <c r="S14" i="2"/>
  <c r="S30" i="2" s="1"/>
  <c r="O23" i="2"/>
  <c r="O38" i="2" s="1"/>
  <c r="N23" i="2"/>
  <c r="N38" i="2" s="1"/>
  <c r="P18" i="2"/>
  <c r="P34" i="2" s="1"/>
  <c r="Q18" i="2"/>
  <c r="Q34" i="2" s="1"/>
  <c r="W11" i="2"/>
  <c r="W26" i="2" s="1"/>
  <c r="V11" i="2"/>
  <c r="V26" i="2" s="1"/>
  <c r="S18" i="2"/>
  <c r="S34" i="2" s="1"/>
  <c r="S23" i="2"/>
  <c r="S38" i="2" s="1"/>
  <c r="D20" i="11"/>
  <c r="E23" i="11"/>
  <c r="E26" i="11" s="1"/>
  <c r="D26" i="11"/>
  <c r="L18" i="3"/>
  <c r="W18" i="2"/>
  <c r="W34" i="2" s="1"/>
  <c r="V18" i="2"/>
  <c r="V34" i="2" s="1"/>
  <c r="O14" i="2"/>
  <c r="O30" i="2" s="1"/>
  <c r="N30" i="2"/>
  <c r="O18" i="2"/>
  <c r="O34" i="2" s="1"/>
  <c r="N34" i="2"/>
  <c r="N26" i="2"/>
  <c r="O11" i="2"/>
  <c r="O26" i="2" s="1"/>
  <c r="V14" i="2"/>
  <c r="V30" i="2" s="1"/>
  <c r="W14" i="2"/>
  <c r="W30" i="2" s="1"/>
  <c r="Q11" i="2"/>
  <c r="Q26" i="2" s="1"/>
  <c r="P11" i="2"/>
  <c r="P26" i="2" s="1"/>
  <c r="V23" i="2"/>
  <c r="V38" i="2" s="1"/>
  <c r="W23" i="2"/>
  <c r="W38" i="2" s="1"/>
  <c r="S42" i="2"/>
  <c r="B61" i="4"/>
  <c r="D38" i="4"/>
  <c r="D49" i="4" s="1"/>
  <c r="D51" i="4" s="1"/>
  <c r="C28" i="6"/>
  <c r="C48" i="6" s="1"/>
  <c r="D38" i="6"/>
  <c r="D49" i="6" s="1"/>
  <c r="D109" i="14"/>
  <c r="D68" i="14"/>
  <c r="D67" i="14"/>
  <c r="D65" i="14"/>
  <c r="D70" i="14" s="1"/>
  <c r="D81" i="14" s="1"/>
  <c r="D85" i="14" s="1"/>
  <c r="D111" i="14" s="1"/>
  <c r="D66" i="14"/>
  <c r="D75" i="14"/>
  <c r="D76" i="14" s="1"/>
  <c r="D83" i="14" s="1"/>
  <c r="P30" i="2"/>
  <c r="E23" i="2"/>
  <c r="E38" i="2" s="1"/>
  <c r="E18" i="2"/>
  <c r="E34" i="2" s="1"/>
  <c r="E42" i="2" s="1"/>
  <c r="C89" i="6"/>
  <c r="C94" i="6" s="1"/>
  <c r="C120" i="6" s="1"/>
  <c r="I47" i="12"/>
  <c r="I53" i="12"/>
  <c r="I52" i="12"/>
  <c r="I48" i="12"/>
  <c r="I57" i="12" s="1"/>
  <c r="I67" i="12" s="1"/>
  <c r="P21" i="2" s="1"/>
  <c r="P23" i="2" s="1"/>
  <c r="P38" i="2" s="1"/>
  <c r="I44" i="12"/>
  <c r="I43" i="12"/>
  <c r="I45" i="12"/>
  <c r="I56" i="12" s="1"/>
  <c r="I66" i="12" s="1"/>
  <c r="I50" i="12"/>
  <c r="I40" i="12"/>
  <c r="I49" i="12"/>
  <c r="I51" i="12"/>
  <c r="I58" i="12" s="1"/>
  <c r="I68" i="12" s="1"/>
  <c r="I41" i="12"/>
  <c r="I39" i="12"/>
  <c r="I54" i="12" s="1"/>
  <c r="I64" i="12" s="1"/>
  <c r="I42" i="12"/>
  <c r="I55" i="12" s="1"/>
  <c r="I65" i="12" s="1"/>
  <c r="I46" i="12"/>
  <c r="H38" i="12"/>
  <c r="H53" i="12" s="1"/>
  <c r="C38" i="14"/>
  <c r="C49" i="14" s="1"/>
  <c r="C51" i="14" s="1"/>
  <c r="C109" i="14" s="1"/>
  <c r="C61" i="14"/>
  <c r="C110" i="14" s="1"/>
  <c r="C56" i="6"/>
  <c r="G37" i="12"/>
  <c r="F55" i="9"/>
  <c r="C89" i="4"/>
  <c r="C94" i="4" s="1"/>
  <c r="C116" i="4" s="1"/>
  <c r="C36" i="6"/>
  <c r="C35" i="6"/>
  <c r="C112" i="4"/>
  <c r="C55" i="4"/>
  <c r="C37" i="4"/>
  <c r="C35" i="4"/>
  <c r="C33" i="4"/>
  <c r="C31" i="4"/>
  <c r="C34" i="4"/>
  <c r="C57" i="4"/>
  <c r="D57" i="4" s="1"/>
  <c r="D61" i="4" s="1"/>
  <c r="D114" i="4" s="1"/>
  <c r="C58" i="4"/>
  <c r="C36" i="4"/>
  <c r="C32" i="4"/>
  <c r="C30" i="4"/>
  <c r="E14" i="11"/>
  <c r="E15" i="11" s="1"/>
  <c r="E12" i="11" s="1"/>
  <c r="B40" i="15" s="1"/>
  <c r="D40" i="15" s="1"/>
  <c r="D46" i="15" s="1"/>
  <c r="D50" i="15" s="1"/>
  <c r="D51" i="15" s="1"/>
  <c r="F56" i="9"/>
  <c r="C10" i="8"/>
  <c r="C15" i="8" s="1"/>
  <c r="D10" i="8"/>
  <c r="D15" i="8" s="1"/>
  <c r="E38" i="12"/>
  <c r="D38" i="12"/>
  <c r="D51" i="12" s="1"/>
  <c r="D58" i="12" s="1"/>
  <c r="D68" i="12" s="1"/>
  <c r="C30" i="6"/>
  <c r="C37" i="6"/>
  <c r="E18" i="11"/>
  <c r="E20" i="11" s="1"/>
  <c r="C34" i="6"/>
  <c r="C33" i="6"/>
  <c r="F23" i="9"/>
  <c r="C59" i="6"/>
  <c r="B61" i="6"/>
  <c r="C32" i="6"/>
  <c r="C31" i="6"/>
  <c r="C59" i="4"/>
  <c r="C56" i="4"/>
  <c r="E16" i="11" l="1"/>
  <c r="B40" i="6" s="1"/>
  <c r="D40" i="6" s="1"/>
  <c r="D46" i="6" s="1"/>
  <c r="D50" i="6" s="1"/>
  <c r="E21" i="11"/>
  <c r="B40" i="16" s="1"/>
  <c r="D40" i="16" s="1"/>
  <c r="D46" i="16" s="1"/>
  <c r="D50" i="16" s="1"/>
  <c r="D51" i="16" s="1"/>
  <c r="D117" i="16" s="1"/>
  <c r="O42" i="2"/>
  <c r="Q42" i="2"/>
  <c r="W42" i="2"/>
  <c r="D69" i="15"/>
  <c r="D109" i="15"/>
  <c r="D75" i="15"/>
  <c r="D76" i="15" s="1"/>
  <c r="D83" i="15" s="1"/>
  <c r="D68" i="15"/>
  <c r="D67" i="15"/>
  <c r="D66" i="15"/>
  <c r="D65" i="15"/>
  <c r="D51" i="6"/>
  <c r="D68" i="6" s="1"/>
  <c r="N42" i="2"/>
  <c r="D75" i="16"/>
  <c r="D76" i="16" s="1"/>
  <c r="D83" i="16" s="1"/>
  <c r="D67" i="16"/>
  <c r="D66" i="16"/>
  <c r="D65" i="16"/>
  <c r="V42" i="2"/>
  <c r="D68" i="4"/>
  <c r="D113" i="4"/>
  <c r="D75" i="4"/>
  <c r="D76" i="4" s="1"/>
  <c r="D83" i="4" s="1"/>
  <c r="D65" i="4"/>
  <c r="D69" i="4"/>
  <c r="D67" i="4"/>
  <c r="D66" i="4"/>
  <c r="D67" i="6"/>
  <c r="D65" i="6"/>
  <c r="D113" i="14"/>
  <c r="D98" i="14"/>
  <c r="P42" i="2"/>
  <c r="C61" i="6"/>
  <c r="C118" i="6" s="1"/>
  <c r="H46" i="12"/>
  <c r="H42" i="12"/>
  <c r="H55" i="12" s="1"/>
  <c r="H65" i="12" s="1"/>
  <c r="H43" i="12"/>
  <c r="H39" i="12"/>
  <c r="H54" i="12" s="1"/>
  <c r="H64" i="12" s="1"/>
  <c r="H40" i="12"/>
  <c r="H44" i="12"/>
  <c r="H41" i="12"/>
  <c r="H50" i="12"/>
  <c r="H49" i="12"/>
  <c r="H47" i="12"/>
  <c r="H52" i="12"/>
  <c r="H51" i="12"/>
  <c r="H58" i="12" s="1"/>
  <c r="H68" i="12" s="1"/>
  <c r="H48" i="12"/>
  <c r="H57" i="12" s="1"/>
  <c r="H67" i="12" s="1"/>
  <c r="H45" i="12"/>
  <c r="H56" i="12" s="1"/>
  <c r="H66" i="12" s="1"/>
  <c r="D45" i="12"/>
  <c r="D47" i="12"/>
  <c r="D43" i="12"/>
  <c r="D46" i="12"/>
  <c r="D39" i="12"/>
  <c r="D54" i="12" s="1"/>
  <c r="D64" i="12" s="1"/>
  <c r="D49" i="12"/>
  <c r="D52" i="12"/>
  <c r="C68" i="14"/>
  <c r="C66" i="14"/>
  <c r="C65" i="14"/>
  <c r="C67" i="14"/>
  <c r="C75" i="14"/>
  <c r="C76" i="14" s="1"/>
  <c r="C83" i="14" s="1"/>
  <c r="E42" i="12"/>
  <c r="E55" i="12" s="1"/>
  <c r="E65" i="12" s="1"/>
  <c r="E40" i="12"/>
  <c r="E44" i="12"/>
  <c r="E52" i="12"/>
  <c r="E48" i="12"/>
  <c r="E57" i="12" s="1"/>
  <c r="E67" i="12" s="1"/>
  <c r="E46" i="12"/>
  <c r="C44" i="8"/>
  <c r="C19" i="8"/>
  <c r="F17" i="7"/>
  <c r="E17" i="7"/>
  <c r="E43" i="12"/>
  <c r="D44" i="12"/>
  <c r="E53" i="12"/>
  <c r="E47" i="12"/>
  <c r="D53" i="12"/>
  <c r="D50" i="12"/>
  <c r="D48" i="12"/>
  <c r="D57" i="12" s="1"/>
  <c r="D67" i="12" s="1"/>
  <c r="E41" i="12"/>
  <c r="D10" i="7"/>
  <c r="C10" i="7"/>
  <c r="G30" i="9"/>
  <c r="G31" i="9"/>
  <c r="D40" i="12"/>
  <c r="E39" i="12"/>
  <c r="E54" i="12" s="1"/>
  <c r="E64" i="12" s="1"/>
  <c r="E10" i="8"/>
  <c r="E15" i="8" s="1"/>
  <c r="F10" i="8"/>
  <c r="F15" i="8" s="1"/>
  <c r="D41" i="12"/>
  <c r="C38" i="4"/>
  <c r="C49" i="4" s="1"/>
  <c r="E51" i="12"/>
  <c r="E58" i="12" s="1"/>
  <c r="E68" i="12" s="1"/>
  <c r="D42" i="12"/>
  <c r="D55" i="12" s="1"/>
  <c r="D65" i="12" s="1"/>
  <c r="D14" i="7"/>
  <c r="C14" i="7"/>
  <c r="C38" i="6"/>
  <c r="C49" i="6" s="1"/>
  <c r="E45" i="12"/>
  <c r="E56" i="12" s="1"/>
  <c r="E66" i="12" s="1"/>
  <c r="D44" i="8"/>
  <c r="D19" i="8"/>
  <c r="D56" i="12"/>
  <c r="D66" i="12" s="1"/>
  <c r="C61" i="4"/>
  <c r="C114" i="4" s="1"/>
  <c r="E49" i="12"/>
  <c r="G38" i="12"/>
  <c r="G43" i="12" s="1"/>
  <c r="E50" i="12"/>
  <c r="D68" i="16" l="1"/>
  <c r="D75" i="6"/>
  <c r="D76" i="6" s="1"/>
  <c r="D83" i="6" s="1"/>
  <c r="D117" i="6"/>
  <c r="D70" i="16"/>
  <c r="D81" i="16" s="1"/>
  <c r="D85" i="16" s="1"/>
  <c r="D70" i="15"/>
  <c r="D81" i="15" s="1"/>
  <c r="D85" i="15" s="1"/>
  <c r="D66" i="6"/>
  <c r="D70" i="6" s="1"/>
  <c r="D81" i="6" s="1"/>
  <c r="D85" i="6" s="1"/>
  <c r="D70" i="4"/>
  <c r="D81" i="4" s="1"/>
  <c r="D85" i="4" s="1"/>
  <c r="D99" i="14"/>
  <c r="G51" i="12"/>
  <c r="C40" i="4"/>
  <c r="C46" i="4" s="1"/>
  <c r="C50" i="4" s="1"/>
  <c r="C51" i="4" s="1"/>
  <c r="C75" i="4" s="1"/>
  <c r="C76" i="4" s="1"/>
  <c r="C83" i="4" s="1"/>
  <c r="C40" i="15"/>
  <c r="C46" i="15" s="1"/>
  <c r="C50" i="15" s="1"/>
  <c r="C51" i="15" s="1"/>
  <c r="C17" i="7"/>
  <c r="C21" i="7" s="1"/>
  <c r="G49" i="12"/>
  <c r="G48" i="12"/>
  <c r="G57" i="12" s="1"/>
  <c r="G67" i="12" s="1"/>
  <c r="G50" i="12"/>
  <c r="G41" i="12"/>
  <c r="C70" i="14"/>
  <c r="C81" i="14" s="1"/>
  <c r="C85" i="14" s="1"/>
  <c r="C98" i="14" s="1"/>
  <c r="G46" i="12"/>
  <c r="G53" i="12"/>
  <c r="F21" i="7"/>
  <c r="G45" i="12"/>
  <c r="G56" i="12" s="1"/>
  <c r="G66" i="12" s="1"/>
  <c r="G47" i="12"/>
  <c r="G44" i="12"/>
  <c r="F44" i="8"/>
  <c r="F19" i="8"/>
  <c r="D17" i="7"/>
  <c r="G58" i="12"/>
  <c r="G68" i="12" s="1"/>
  <c r="G42" i="12"/>
  <c r="G39" i="12"/>
  <c r="G54" i="12" s="1"/>
  <c r="G64" i="12" s="1"/>
  <c r="C20" i="8"/>
  <c r="C28" i="8" s="1"/>
  <c r="D20" i="8"/>
  <c r="D29" i="8" s="1"/>
  <c r="G40" i="12"/>
  <c r="E19" i="8"/>
  <c r="E44" i="8"/>
  <c r="G55" i="12"/>
  <c r="G65" i="12" s="1"/>
  <c r="G52" i="12"/>
  <c r="E21" i="7"/>
  <c r="C22" i="8" l="1"/>
  <c r="D119" i="16"/>
  <c r="D121" i="16" s="1"/>
  <c r="D98" i="16"/>
  <c r="D111" i="15"/>
  <c r="D113" i="15" s="1"/>
  <c r="D98" i="15"/>
  <c r="D115" i="4"/>
  <c r="D117" i="4" s="1"/>
  <c r="D98" i="4"/>
  <c r="D119" i="6"/>
  <c r="D121" i="6" s="1"/>
  <c r="D98" i="6"/>
  <c r="D101" i="14"/>
  <c r="D102" i="14"/>
  <c r="D100" i="14"/>
  <c r="D103" i="14"/>
  <c r="D114" i="14" s="1"/>
  <c r="D115" i="14" s="1"/>
  <c r="C32" i="8"/>
  <c r="D27" i="8"/>
  <c r="D38" i="8" s="1"/>
  <c r="D47" i="8" s="1"/>
  <c r="C34" i="8"/>
  <c r="C67" i="4"/>
  <c r="C65" i="15"/>
  <c r="C67" i="15"/>
  <c r="C75" i="15"/>
  <c r="C76" i="15" s="1"/>
  <c r="C83" i="15" s="1"/>
  <c r="C69" i="15"/>
  <c r="C68" i="15"/>
  <c r="C109" i="15"/>
  <c r="C66" i="15"/>
  <c r="D35" i="8"/>
  <c r="D23" i="8"/>
  <c r="C29" i="8"/>
  <c r="D24" i="8"/>
  <c r="D37" i="8" s="1"/>
  <c r="D46" i="8" s="1"/>
  <c r="D52" i="8" s="1"/>
  <c r="D58" i="8" s="1"/>
  <c r="H20" i="2" s="1"/>
  <c r="D25" i="8"/>
  <c r="E20" i="8"/>
  <c r="E25" i="8" s="1"/>
  <c r="C69" i="4"/>
  <c r="C66" i="4"/>
  <c r="C113" i="4"/>
  <c r="C65" i="4"/>
  <c r="C68" i="4"/>
  <c r="C22" i="7"/>
  <c r="C37" i="7" s="1"/>
  <c r="C111" i="14"/>
  <c r="C113" i="14" s="1"/>
  <c r="C99" i="14"/>
  <c r="C101" i="14" s="1"/>
  <c r="E22" i="7"/>
  <c r="E35" i="7" s="1"/>
  <c r="E42" i="7" s="1"/>
  <c r="E50" i="7" s="1"/>
  <c r="D31" i="8"/>
  <c r="C30" i="8"/>
  <c r="C39" i="8" s="1"/>
  <c r="C48" i="8" s="1"/>
  <c r="D21" i="7"/>
  <c r="F20" i="8"/>
  <c r="D28" i="8"/>
  <c r="D26" i="8"/>
  <c r="D22" i="8"/>
  <c r="D34" i="8"/>
  <c r="D30" i="8"/>
  <c r="D39" i="8" s="1"/>
  <c r="D48" i="8" s="1"/>
  <c r="C31" i="8"/>
  <c r="D32" i="8"/>
  <c r="F22" i="7"/>
  <c r="F26" i="7" s="1"/>
  <c r="F39" i="7" s="1"/>
  <c r="F47" i="7" s="1"/>
  <c r="J20" i="2" s="1"/>
  <c r="C21" i="8"/>
  <c r="C36" i="8" s="1"/>
  <c r="C45" i="8" s="1"/>
  <c r="C27" i="8"/>
  <c r="C38" i="8" s="1"/>
  <c r="C47" i="8" s="1"/>
  <c r="C35" i="8"/>
  <c r="C24" i="8"/>
  <c r="C37" i="8" s="1"/>
  <c r="C46" i="8" s="1"/>
  <c r="C26" i="8"/>
  <c r="C33" i="8"/>
  <c r="C40" i="8" s="1"/>
  <c r="C49" i="8" s="1"/>
  <c r="C25" i="8"/>
  <c r="C23" i="8"/>
  <c r="D21" i="8"/>
  <c r="D36" i="8" s="1"/>
  <c r="D45" i="8" s="1"/>
  <c r="D33" i="8"/>
  <c r="D40" i="8" s="1"/>
  <c r="D49" i="8" s="1"/>
  <c r="J13" i="2" l="1"/>
  <c r="J12" i="2"/>
  <c r="J9" i="2"/>
  <c r="J8" i="2"/>
  <c r="D99" i="6"/>
  <c r="D106" i="6" s="1"/>
  <c r="D100" i="6"/>
  <c r="D109" i="6" s="1"/>
  <c r="D122" i="6" s="1"/>
  <c r="D125" i="6" s="1"/>
  <c r="D99" i="15"/>
  <c r="D102" i="15" s="1"/>
  <c r="D99" i="16"/>
  <c r="D99" i="4"/>
  <c r="D104" i="4" s="1"/>
  <c r="D101" i="4"/>
  <c r="D105" i="6"/>
  <c r="D101" i="6"/>
  <c r="D111" i="6"/>
  <c r="D124" i="6" s="1"/>
  <c r="D127" i="6" s="1"/>
  <c r="D116" i="14"/>
  <c r="T21" i="2"/>
  <c r="C30" i="7"/>
  <c r="C33" i="7"/>
  <c r="C70" i="15"/>
  <c r="C81" i="15" s="1"/>
  <c r="C85" i="15" s="1"/>
  <c r="E35" i="8"/>
  <c r="E23" i="8"/>
  <c r="E34" i="8"/>
  <c r="E27" i="8"/>
  <c r="E38" i="8" s="1"/>
  <c r="E47" i="8" s="1"/>
  <c r="E53" i="8" s="1"/>
  <c r="E59" i="8" s="1"/>
  <c r="E21" i="8"/>
  <c r="E36" i="8" s="1"/>
  <c r="E45" i="8" s="1"/>
  <c r="E51" i="8" s="1"/>
  <c r="E57" i="8" s="1"/>
  <c r="E32" i="8"/>
  <c r="E31" i="8"/>
  <c r="D55" i="8"/>
  <c r="D61" i="8" s="1"/>
  <c r="H15" i="2" s="1"/>
  <c r="D54" i="8"/>
  <c r="D60" i="8" s="1"/>
  <c r="H21" i="2" s="1"/>
  <c r="C52" i="8"/>
  <c r="C58" i="8" s="1"/>
  <c r="H10" i="2" s="1"/>
  <c r="D53" i="8"/>
  <c r="D59" i="8" s="1"/>
  <c r="H17" i="2" s="1"/>
  <c r="C55" i="8"/>
  <c r="C61" i="8" s="1"/>
  <c r="C53" i="8"/>
  <c r="C59" i="8" s="1"/>
  <c r="E24" i="8"/>
  <c r="E37" i="8" s="1"/>
  <c r="E46" i="8" s="1"/>
  <c r="E33" i="8"/>
  <c r="E40" i="8" s="1"/>
  <c r="E49" i="8" s="1"/>
  <c r="E22" i="8"/>
  <c r="E29" i="8"/>
  <c r="E30" i="8"/>
  <c r="E39" i="8" s="1"/>
  <c r="E48" i="8" s="1"/>
  <c r="E54" i="8" s="1"/>
  <c r="E60" i="8" s="1"/>
  <c r="D51" i="8"/>
  <c r="D57" i="8" s="1"/>
  <c r="C54" i="8"/>
  <c r="C60" i="8" s="1"/>
  <c r="C51" i="8"/>
  <c r="C57" i="8" s="1"/>
  <c r="E28" i="8"/>
  <c r="E26" i="8"/>
  <c r="F24" i="7"/>
  <c r="C25" i="7"/>
  <c r="E33" i="7"/>
  <c r="C29" i="7"/>
  <c r="C40" i="7" s="1"/>
  <c r="C48" i="7" s="1"/>
  <c r="C70" i="4"/>
  <c r="C81" i="4" s="1"/>
  <c r="C85" i="4" s="1"/>
  <c r="C98" i="4" s="1"/>
  <c r="C99" i="4" s="1"/>
  <c r="C103" i="4" s="1"/>
  <c r="C24" i="7"/>
  <c r="C23" i="7"/>
  <c r="C38" i="7" s="1"/>
  <c r="F33" i="7"/>
  <c r="F34" i="7"/>
  <c r="C27" i="7"/>
  <c r="C31" i="7"/>
  <c r="C28" i="7"/>
  <c r="C26" i="7"/>
  <c r="C39" i="7" s="1"/>
  <c r="C35" i="7"/>
  <c r="C42" i="7" s="1"/>
  <c r="C50" i="7" s="1"/>
  <c r="C34" i="7"/>
  <c r="C36" i="7"/>
  <c r="C32" i="7"/>
  <c r="C41" i="7" s="1"/>
  <c r="C49" i="7" s="1"/>
  <c r="F23" i="7"/>
  <c r="F38" i="7" s="1"/>
  <c r="F46" i="7" s="1"/>
  <c r="E31" i="7"/>
  <c r="F31" i="7"/>
  <c r="F36" i="7"/>
  <c r="F29" i="7"/>
  <c r="F40" i="7" s="1"/>
  <c r="F48" i="7" s="1"/>
  <c r="J17" i="2" s="1"/>
  <c r="F35" i="7"/>
  <c r="F42" i="7" s="1"/>
  <c r="C102" i="14"/>
  <c r="C100" i="14"/>
  <c r="C103" i="14" s="1"/>
  <c r="C114" i="14" s="1"/>
  <c r="C115" i="14" s="1"/>
  <c r="F35" i="8"/>
  <c r="F23" i="8"/>
  <c r="F27" i="8"/>
  <c r="F38" i="8" s="1"/>
  <c r="F47" i="8" s="1"/>
  <c r="F34" i="8"/>
  <c r="F30" i="8"/>
  <c r="F39" i="8" s="1"/>
  <c r="F48" i="8" s="1"/>
  <c r="F31" i="8"/>
  <c r="F32" i="8"/>
  <c r="F21" i="8"/>
  <c r="F36" i="8" s="1"/>
  <c r="F45" i="8" s="1"/>
  <c r="F24" i="8"/>
  <c r="F37" i="8" s="1"/>
  <c r="F46" i="8" s="1"/>
  <c r="F22" i="8"/>
  <c r="F26" i="8"/>
  <c r="F28" i="8"/>
  <c r="F25" i="8"/>
  <c r="F28" i="7"/>
  <c r="F29" i="8"/>
  <c r="E27" i="7"/>
  <c r="E28" i="7"/>
  <c r="E32" i="7"/>
  <c r="E41" i="7" s="1"/>
  <c r="E49" i="7" s="1"/>
  <c r="E36" i="7"/>
  <c r="E24" i="7"/>
  <c r="E34" i="7"/>
  <c r="E23" i="7"/>
  <c r="E38" i="7" s="1"/>
  <c r="E46" i="7" s="1"/>
  <c r="E30" i="7"/>
  <c r="E26" i="7"/>
  <c r="E39" i="7" s="1"/>
  <c r="E47" i="7" s="1"/>
  <c r="J10" i="2" s="1"/>
  <c r="F30" i="7"/>
  <c r="F33" i="8"/>
  <c r="F40" i="8" s="1"/>
  <c r="F49" i="8" s="1"/>
  <c r="D22" i="7"/>
  <c r="D35" i="7" s="1"/>
  <c r="D42" i="7" s="1"/>
  <c r="D50" i="7" s="1"/>
  <c r="F15" i="2" s="1"/>
  <c r="E25" i="7"/>
  <c r="F37" i="7"/>
  <c r="F32" i="7"/>
  <c r="F41" i="7" s="1"/>
  <c r="F49" i="7" s="1"/>
  <c r="J21" i="2" s="1"/>
  <c r="F27" i="7"/>
  <c r="F25" i="7"/>
  <c r="E29" i="7"/>
  <c r="E40" i="7" s="1"/>
  <c r="E48" i="7" s="1"/>
  <c r="E37" i="7"/>
  <c r="J19" i="2" l="1"/>
  <c r="J22" i="2"/>
  <c r="J16" i="2"/>
  <c r="D100" i="15"/>
  <c r="D108" i="6"/>
  <c r="D104" i="6"/>
  <c r="D102" i="6"/>
  <c r="D103" i="16"/>
  <c r="D105" i="16"/>
  <c r="D101" i="16"/>
  <c r="D106" i="16"/>
  <c r="D111" i="16" s="1"/>
  <c r="D124" i="16" s="1"/>
  <c r="D127" i="16" s="1"/>
  <c r="D130" i="16" s="1"/>
  <c r="D100" i="16"/>
  <c r="D102" i="16"/>
  <c r="D108" i="16"/>
  <c r="D104" i="16"/>
  <c r="D107" i="16"/>
  <c r="D110" i="16"/>
  <c r="D123" i="16" s="1"/>
  <c r="D126" i="16" s="1"/>
  <c r="D103" i="6"/>
  <c r="D110" i="6" s="1"/>
  <c r="D123" i="6" s="1"/>
  <c r="D126" i="6" s="1"/>
  <c r="T17" i="2" s="1"/>
  <c r="D103" i="15"/>
  <c r="D114" i="15" s="1"/>
  <c r="D115" i="15" s="1"/>
  <c r="D109" i="16"/>
  <c r="D122" i="16" s="1"/>
  <c r="D125" i="16" s="1"/>
  <c r="D107" i="6"/>
  <c r="D101" i="15"/>
  <c r="D100" i="4"/>
  <c r="D103" i="4"/>
  <c r="D107" i="4" s="1"/>
  <c r="D119" i="4" s="1"/>
  <c r="D121" i="4" s="1"/>
  <c r="D102" i="4"/>
  <c r="D105" i="4"/>
  <c r="D106" i="4"/>
  <c r="D118" i="4" s="1"/>
  <c r="D120" i="4" s="1"/>
  <c r="D128" i="6"/>
  <c r="T16" i="2"/>
  <c r="D130" i="6"/>
  <c r="T15" i="2"/>
  <c r="R21" i="2"/>
  <c r="D21" i="2"/>
  <c r="C116" i="14"/>
  <c r="C115" i="4"/>
  <c r="C117" i="4" s="1"/>
  <c r="H16" i="2"/>
  <c r="H18" i="2" s="1"/>
  <c r="H19" i="2"/>
  <c r="H22" i="2"/>
  <c r="J11" i="2"/>
  <c r="H13" i="1" s="1"/>
  <c r="J14" i="2"/>
  <c r="H24" i="1" s="1"/>
  <c r="H8" i="2"/>
  <c r="H12" i="2"/>
  <c r="H9" i="2"/>
  <c r="H13" i="2"/>
  <c r="F9" i="2"/>
  <c r="F13" i="2"/>
  <c r="F8" i="2"/>
  <c r="F12" i="2"/>
  <c r="C111" i="15"/>
  <c r="C113" i="15" s="1"/>
  <c r="C98" i="15"/>
  <c r="F51" i="8"/>
  <c r="F57" i="8" s="1"/>
  <c r="E52" i="8"/>
  <c r="E58" i="8" s="1"/>
  <c r="L10" i="2" s="1"/>
  <c r="F52" i="8"/>
  <c r="F58" i="8" s="1"/>
  <c r="L20" i="2" s="1"/>
  <c r="F54" i="8"/>
  <c r="F60" i="8" s="1"/>
  <c r="L21" i="2" s="1"/>
  <c r="F55" i="8"/>
  <c r="F61" i="8" s="1"/>
  <c r="L15" i="2" s="1"/>
  <c r="F53" i="8"/>
  <c r="F59" i="8" s="1"/>
  <c r="L17" i="2" s="1"/>
  <c r="E55" i="8"/>
  <c r="E61" i="8" s="1"/>
  <c r="D26" i="7"/>
  <c r="D39" i="7" s="1"/>
  <c r="D47" i="7" s="1"/>
  <c r="F20" i="2" s="1"/>
  <c r="F50" i="7"/>
  <c r="J15" i="2" s="1"/>
  <c r="C47" i="7"/>
  <c r="C46" i="7"/>
  <c r="D27" i="7"/>
  <c r="D23" i="7"/>
  <c r="D38" i="7" s="1"/>
  <c r="D46" i="7" s="1"/>
  <c r="D34" i="7"/>
  <c r="D31" i="7"/>
  <c r="C105" i="4"/>
  <c r="C104" i="4"/>
  <c r="C102" i="4"/>
  <c r="C101" i="4"/>
  <c r="D37" i="7"/>
  <c r="D29" i="7"/>
  <c r="D40" i="7" s="1"/>
  <c r="D48" i="7" s="1"/>
  <c r="F17" i="2" s="1"/>
  <c r="D36" i="7"/>
  <c r="D28" i="7"/>
  <c r="D32" i="7"/>
  <c r="D41" i="7" s="1"/>
  <c r="D49" i="7" s="1"/>
  <c r="F21" i="2" s="1"/>
  <c r="D30" i="7"/>
  <c r="D24" i="7"/>
  <c r="D25" i="7"/>
  <c r="D33" i="7"/>
  <c r="C100" i="4"/>
  <c r="C106" i="4" s="1"/>
  <c r="C118" i="4" s="1"/>
  <c r="C120" i="4" s="1"/>
  <c r="C107" i="4"/>
  <c r="C119" i="4" s="1"/>
  <c r="C121" i="4" s="1"/>
  <c r="X21" i="2" l="1"/>
  <c r="D129" i="6"/>
  <c r="T18" i="2"/>
  <c r="T34" i="2" s="1"/>
  <c r="T22" i="2"/>
  <c r="T19" i="2"/>
  <c r="T23" i="2" s="1"/>
  <c r="T38" i="2" s="1"/>
  <c r="D128" i="16"/>
  <c r="D129" i="16"/>
  <c r="T20" i="2"/>
  <c r="D116" i="15"/>
  <c r="T13" i="2"/>
  <c r="T12" i="2"/>
  <c r="D123" i="4"/>
  <c r="T9" i="2"/>
  <c r="T8" i="2"/>
  <c r="D122" i="4"/>
  <c r="T10" i="2"/>
  <c r="C123" i="4"/>
  <c r="D8" i="2"/>
  <c r="R9" i="2"/>
  <c r="R8" i="2"/>
  <c r="D9" i="2"/>
  <c r="R10" i="2"/>
  <c r="C122" i="4"/>
  <c r="D10" i="2"/>
  <c r="J23" i="2"/>
  <c r="J18" i="2"/>
  <c r="H11" i="2"/>
  <c r="H16" i="1" s="1"/>
  <c r="F19" i="2"/>
  <c r="F22" i="2"/>
  <c r="F16" i="2"/>
  <c r="L22" i="2"/>
  <c r="L16" i="2"/>
  <c r="L18" i="2" s="1"/>
  <c r="L19" i="2"/>
  <c r="J30" i="2"/>
  <c r="H34" i="2"/>
  <c r="H23" i="2"/>
  <c r="L12" i="2"/>
  <c r="L9" i="2"/>
  <c r="L8" i="2"/>
  <c r="L13" i="2"/>
  <c r="H14" i="2"/>
  <c r="J26" i="2"/>
  <c r="F10" i="2"/>
  <c r="F14" i="2"/>
  <c r="G11" i="1"/>
  <c r="H11" i="1" s="1"/>
  <c r="I11" i="1" s="1"/>
  <c r="C99" i="15"/>
  <c r="C101" i="15" s="1"/>
  <c r="J38" i="2" l="1"/>
  <c r="H48" i="1"/>
  <c r="G48" i="1" s="1"/>
  <c r="T11" i="2"/>
  <c r="T26" i="2" s="1"/>
  <c r="T14" i="2"/>
  <c r="T30" i="2" s="1"/>
  <c r="T42" i="2"/>
  <c r="X9" i="2"/>
  <c r="X8" i="2"/>
  <c r="R11" i="2"/>
  <c r="X10" i="2"/>
  <c r="J34" i="2"/>
  <c r="J42" i="2"/>
  <c r="H26" i="2"/>
  <c r="L34" i="2"/>
  <c r="H51" i="1"/>
  <c r="H38" i="2"/>
  <c r="F18" i="2"/>
  <c r="L11" i="2"/>
  <c r="L23" i="2"/>
  <c r="I48" i="1"/>
  <c r="F11" i="2"/>
  <c r="H12" i="1" s="1"/>
  <c r="H27" i="1"/>
  <c r="H30" i="2"/>
  <c r="L14" i="2"/>
  <c r="I24" i="1"/>
  <c r="G24" i="1"/>
  <c r="H46" i="1"/>
  <c r="F23" i="2"/>
  <c r="F30" i="2"/>
  <c r="C102" i="15"/>
  <c r="C100" i="15"/>
  <c r="C103" i="15" s="1"/>
  <c r="C114" i="15" s="1"/>
  <c r="C115" i="15" s="1"/>
  <c r="D11" i="2"/>
  <c r="D26" i="2" s="1"/>
  <c r="G16" i="1"/>
  <c r="I16" i="1"/>
  <c r="R12" i="2" l="1"/>
  <c r="R13" i="2"/>
  <c r="C116" i="15"/>
  <c r="R26" i="2"/>
  <c r="H14" i="1"/>
  <c r="F26" i="2"/>
  <c r="H42" i="2"/>
  <c r="H52" i="1"/>
  <c r="L38" i="2"/>
  <c r="L26" i="2"/>
  <c r="H17" i="1"/>
  <c r="I51" i="1"/>
  <c r="G51" i="1"/>
  <c r="F38" i="2"/>
  <c r="G27" i="1"/>
  <c r="I27" i="1"/>
  <c r="F34" i="2"/>
  <c r="I46" i="1"/>
  <c r="G46" i="1"/>
  <c r="H28" i="1"/>
  <c r="L30" i="2"/>
  <c r="D13" i="2"/>
  <c r="X13" i="2" s="1"/>
  <c r="D12" i="2"/>
  <c r="X12" i="2" s="1"/>
  <c r="X26" i="2" l="1"/>
  <c r="R14" i="2"/>
  <c r="F42" i="2"/>
  <c r="I52" i="1"/>
  <c r="G52" i="1"/>
  <c r="I28" i="1"/>
  <c r="G28" i="1"/>
  <c r="L42" i="2"/>
  <c r="X14" i="2"/>
  <c r="D14" i="2"/>
  <c r="I17" i="1"/>
  <c r="G17" i="1"/>
  <c r="R30" i="2" l="1"/>
  <c r="H25" i="1"/>
  <c r="G12" i="1"/>
  <c r="D30" i="2"/>
  <c r="H23" i="1"/>
  <c r="I12" i="1"/>
  <c r="X11" i="2"/>
  <c r="X30" i="2" l="1"/>
  <c r="G25" i="1"/>
  <c r="I25" i="1"/>
  <c r="G23" i="1"/>
  <c r="I29" i="1"/>
  <c r="I23" i="1"/>
  <c r="I13" i="1"/>
  <c r="G13" i="1"/>
  <c r="I18" i="1"/>
  <c r="I30" i="1" l="1"/>
  <c r="X31" i="2"/>
  <c r="X32" i="2" s="1"/>
  <c r="I19" i="1"/>
  <c r="G14" i="1"/>
  <c r="I14" i="1"/>
  <c r="X27" i="2" l="1"/>
  <c r="X28" i="2" s="1"/>
  <c r="C40" i="16" l="1"/>
  <c r="C46" i="16" s="1"/>
  <c r="C50" i="16" s="1"/>
  <c r="C51" i="16" s="1"/>
  <c r="C67" i="16" l="1"/>
  <c r="C66" i="16"/>
  <c r="C65" i="16"/>
  <c r="C68" i="16"/>
  <c r="C75" i="16"/>
  <c r="C76" i="16" s="1"/>
  <c r="C83" i="16" s="1"/>
  <c r="C117" i="16"/>
  <c r="C40" i="6"/>
  <c r="C46" i="6" s="1"/>
  <c r="C50" i="6" s="1"/>
  <c r="C51" i="6" s="1"/>
  <c r="C70" i="16" l="1"/>
  <c r="C81" i="16" s="1"/>
  <c r="C85" i="16" s="1"/>
  <c r="C67" i="6"/>
  <c r="C68" i="6"/>
  <c r="C75" i="6"/>
  <c r="C76" i="6" s="1"/>
  <c r="C83" i="6" s="1"/>
  <c r="C65" i="6"/>
  <c r="C66" i="6"/>
  <c r="C117" i="6"/>
  <c r="C70" i="6" l="1"/>
  <c r="C81" i="6" s="1"/>
  <c r="C85" i="6" s="1"/>
  <c r="C119" i="16"/>
  <c r="C121" i="16" s="1"/>
  <c r="C98" i="16"/>
  <c r="C99" i="16" s="1"/>
  <c r="C104" i="16" l="1"/>
  <c r="C119" i="6"/>
  <c r="C121" i="6" s="1"/>
  <c r="C98" i="6"/>
  <c r="C100" i="16"/>
  <c r="C109" i="16" s="1"/>
  <c r="C122" i="16" s="1"/>
  <c r="C125" i="16" s="1"/>
  <c r="C103" i="16"/>
  <c r="C110" i="16" s="1"/>
  <c r="C123" i="16" s="1"/>
  <c r="C126" i="16" s="1"/>
  <c r="C106" i="16"/>
  <c r="C111" i="16" s="1"/>
  <c r="C124" i="16" s="1"/>
  <c r="C127" i="16" s="1"/>
  <c r="C130" i="16" s="1"/>
  <c r="C108" i="16"/>
  <c r="C107" i="16"/>
  <c r="C102" i="16"/>
  <c r="C105" i="16"/>
  <c r="C101" i="16"/>
  <c r="R22" i="2" l="1"/>
  <c r="D19" i="2"/>
  <c r="R19" i="2"/>
  <c r="D22" i="2"/>
  <c r="C128" i="16"/>
  <c r="C129" i="16"/>
  <c r="R20" i="2"/>
  <c r="D20" i="2"/>
  <c r="X20" i="2" s="1"/>
  <c r="C99" i="6"/>
  <c r="C108" i="6" s="1"/>
  <c r="C107" i="6" l="1"/>
  <c r="X22" i="2"/>
  <c r="X19" i="2"/>
  <c r="R23" i="2"/>
  <c r="C103" i="6"/>
  <c r="C110" i="6" s="1"/>
  <c r="C123" i="6" s="1"/>
  <c r="C126" i="6" s="1"/>
  <c r="C101" i="6"/>
  <c r="C100" i="6"/>
  <c r="C109" i="6" s="1"/>
  <c r="C122" i="6" s="1"/>
  <c r="C125" i="6" s="1"/>
  <c r="C106" i="6"/>
  <c r="C111" i="6" s="1"/>
  <c r="C124" i="6" s="1"/>
  <c r="C127" i="6" s="1"/>
  <c r="C105" i="6"/>
  <c r="C104" i="6"/>
  <c r="C102" i="6"/>
  <c r="R38" i="2" l="1"/>
  <c r="H49" i="1"/>
  <c r="R16" i="2"/>
  <c r="D16" i="2"/>
  <c r="C128" i="6"/>
  <c r="D15" i="2"/>
  <c r="F124" i="6"/>
  <c r="C130" i="6"/>
  <c r="R15" i="2"/>
  <c r="R17" i="2"/>
  <c r="D17" i="2"/>
  <c r="C129" i="6"/>
  <c r="X16" i="2" l="1"/>
  <c r="X15" i="2"/>
  <c r="I49" i="1"/>
  <c r="G49" i="1"/>
  <c r="R18" i="2"/>
  <c r="D18" i="2"/>
  <c r="D34" i="2" s="1"/>
  <c r="X17" i="2"/>
  <c r="F125" i="6"/>
  <c r="H124" i="6"/>
  <c r="X23" i="2"/>
  <c r="D23" i="2"/>
  <c r="X18" i="2" l="1"/>
  <c r="H125" i="6"/>
  <c r="R34" i="2"/>
  <c r="R42" i="2" s="1"/>
  <c r="D38" i="2"/>
  <c r="H47" i="1"/>
  <c r="D42" i="2"/>
  <c r="X34" i="2" l="1"/>
  <c r="X35" i="2" s="1"/>
  <c r="X38" i="2"/>
  <c r="X42" i="2"/>
  <c r="X43" i="2" s="1"/>
  <c r="X44" i="2" s="1"/>
  <c r="I53" i="1"/>
  <c r="I47" i="1"/>
  <c r="G47" i="1"/>
  <c r="X39" i="2" l="1"/>
  <c r="X40" i="2" s="1"/>
  <c r="I54" i="1"/>
  <c r="I56" i="1"/>
  <c r="X36" i="2"/>
  <c r="I57" i="1" l="1"/>
</calcChain>
</file>

<file path=xl/sharedStrings.xml><?xml version="1.0" encoding="utf-8"?>
<sst xmlns="http://schemas.openxmlformats.org/spreadsheetml/2006/main" count="1554" uniqueCount="505">
  <si>
    <t>ANEXO III – MODELO DE PROPOSTA DE PREÇOS</t>
  </si>
  <si>
    <t>INSTITUTO NACIONAL DO SEGURO SOCIAL</t>
  </si>
  <si>
    <t>SUPERINTENDÊNCIA REGIONAL SUL</t>
  </si>
  <si>
    <t>MODELO DE PROPOSTA DE PREÇOS</t>
  </si>
  <si>
    <t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</si>
  <si>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>PARANÁ</t>
  </si>
  <si>
    <t>GRUPO</t>
  </si>
  <si>
    <t>ITEM</t>
  </si>
  <si>
    <t>CÓDIGO SIASG</t>
  </si>
  <si>
    <t>DESCRIÇÃO/ESPECIFICAÇÃO</t>
  </si>
  <si>
    <t>Quantidade</t>
  </si>
  <si>
    <t>Meses</t>
  </si>
  <si>
    <t>Valor Médio Unitário</t>
  </si>
  <si>
    <t>Valor Mensal</t>
  </si>
  <si>
    <t>Valor Estimado Anual</t>
  </si>
  <si>
    <t>Pedágio</t>
  </si>
  <si>
    <t>Quantidade (Km/Mês)</t>
  </si>
  <si>
    <t>Valor Unitário (R$/km)</t>
  </si>
  <si>
    <r>
      <t xml:space="preserve">Demais custos variáveis relacionados ao veículo (combustível, manutenção, pneus, lubrificantes, etc) por km rodado </t>
    </r>
    <r>
      <rPr>
        <b/>
        <sz val="10"/>
        <color rgb="FF000000"/>
        <rFont val="Calibri"/>
        <family val="2"/>
      </rPr>
      <t>Sedan.</t>
    </r>
  </si>
  <si>
    <r>
      <t xml:space="preserve">Demais custos variáveis relacionados ao veículo (combustível, manutenção, pneus, lubrificantes, etc) por km rodado </t>
    </r>
    <r>
      <rPr>
        <b/>
        <sz val="10"/>
        <color rgb="FF000000"/>
        <rFont val="Calibri"/>
        <family val="2"/>
      </rPr>
      <t>Furgão</t>
    </r>
    <r>
      <rPr>
        <sz val="10"/>
        <color rgb="FF000000"/>
        <rFont val="Calibri"/>
        <family val="2"/>
      </rPr>
      <t>.</t>
    </r>
  </si>
  <si>
    <t>Valor Unitário</t>
  </si>
  <si>
    <t>RIO GRANDE DO SUL</t>
  </si>
  <si>
    <t>Valor Mensal da Proposta</t>
  </si>
  <si>
    <t>Valor Global da Proposta</t>
  </si>
  <si>
    <t>DECLARAÇÕES PARA CONTRATO DE LOCAÇÃO DE VEÍCULOS</t>
  </si>
  <si>
    <r>
      <t>Declaro que os</t>
    </r>
    <r>
      <rPr>
        <b/>
        <sz val="11"/>
        <color theme="1"/>
        <rFont val="Calibri"/>
        <family val="2"/>
      </rPr>
      <t xml:space="preserve"> veículos ofertados</t>
    </r>
    <r>
      <rPr>
        <sz val="11"/>
        <color theme="1"/>
        <rFont val="Calibri"/>
        <family val="2"/>
      </rPr>
      <t xml:space="preserve"> atendem ao requisito de sustentabilidade conforme disposto no item 8.4.3.1 do Edital. Caso haja solicitação, será encaminhada a comprovação do PBE veicular ou laudo pericial para comprovação da Eficiência Energética.</t>
    </r>
  </si>
  <si>
    <r>
      <t>Declaro que para execução do contrato serão utilizados</t>
    </r>
    <r>
      <rPr>
        <b/>
        <sz val="11"/>
        <color theme="1"/>
        <rFont val="Calibri"/>
        <family val="2"/>
      </rPr>
      <t xml:space="preserve"> pneus</t>
    </r>
    <r>
      <rPr>
        <sz val="11"/>
        <color theme="1"/>
        <rFont val="Calibri"/>
        <family val="2"/>
      </rPr>
      <t xml:space="preserve"> com as características abaixo, ou similares:</t>
    </r>
  </si>
  <si>
    <t>Marca:</t>
  </si>
  <si>
    <t>(preencher com a marca dos pneus)</t>
  </si>
  <si>
    <t>Fabricante:</t>
  </si>
  <si>
    <t>(preencher com o fabricante dos pneus)</t>
  </si>
  <si>
    <t>Classificação ENCE nos quesitos Resistência ao Rolamento e Aderência ao Molhado:</t>
  </si>
  <si>
    <t>(preencher com a classificação ENCE nos quesitos Resistência ao Rolamento e Aderência ao Molhado)</t>
  </si>
  <si>
    <r>
      <t xml:space="preserve">Declaro que para execução do contrato serão utilizadas </t>
    </r>
    <r>
      <rPr>
        <b/>
        <sz val="11"/>
        <color theme="1"/>
        <rFont val="Calibri"/>
        <family val="2"/>
      </rPr>
      <t>baterias</t>
    </r>
    <r>
      <rPr>
        <sz val="11"/>
        <color theme="1"/>
        <rFont val="Calibri"/>
        <family val="2"/>
      </rPr>
      <t xml:space="preserve"> cuja composição respeita os limites máximos de chumbo, cádmio e mercúrio admitidos na Resolução CONAMA n° 401, de 04/11/2008 com as características abaixo, ou similares:</t>
    </r>
  </si>
  <si>
    <t>(preencher com a marca das baterias)</t>
  </si>
  <si>
    <t>(preencher com o fabricante das baterias)</t>
  </si>
  <si>
    <r>
      <t xml:space="preserve">Declaro que para a execução do contrato será utilizado o seguinte </t>
    </r>
    <r>
      <rPr>
        <b/>
        <sz val="11"/>
        <color theme="1"/>
        <rFont val="Calibri"/>
        <family val="2"/>
      </rPr>
      <t>óleo lubrificante</t>
    </r>
    <r>
      <rPr>
        <sz val="11"/>
        <color theme="1"/>
        <rFont val="Calibri"/>
        <family val="2"/>
      </rPr>
      <t>, ou similar:</t>
    </r>
  </si>
  <si>
    <t>(preencher com a marca do óleo lubrificante)</t>
  </si>
  <si>
    <t>(preencher com o fabricante do óleo lubrificante)</t>
  </si>
  <si>
    <t>Registro ANP:</t>
  </si>
  <si>
    <t>(preencher com o Registro ANP)</t>
  </si>
  <si>
    <r>
      <t>Declaro ainda, sob as penas da Lei que</t>
    </r>
    <r>
      <rPr>
        <sz val="11"/>
        <color theme="1"/>
        <rFont val="Calibri"/>
        <family val="2"/>
      </rPr>
      <t xml:space="preserve"> o produto ofertado não se enquadra em uma das vedações contidas no art. 15 da Resolução nº 804, de 2019 da ANP;</t>
    </r>
  </si>
  <si>
    <r>
      <t>Declaro ainda ter pleno conhecimento das condições e peculiaridades inerentes à natureza do trabalho</t>
    </r>
    <r>
      <rPr>
        <sz val="11"/>
        <color theme="1"/>
        <rFont val="Calibri"/>
        <family val="2"/>
      </rPr>
      <t>, assumindo total responsabilidade por este fato e que não utilizará deste para quaisquer questionamentos futuros que ensejem desavenças técnicas ou financeiras com a contratante.</t>
    </r>
  </si>
  <si>
    <t>INFORMAÇÕES ADICIONAIS</t>
  </si>
  <si>
    <t>Indicação dos acordo, convenções ou dissídios coletivos de trabalho:</t>
  </si>
  <si>
    <t>Indicação do regime tributário da licitante:</t>
  </si>
  <si>
    <t>Validade da Proposta de Preços: 60 (sessenta) dias, a contar da data de apresentação</t>
  </si>
  <si>
    <t>Prazo de Execução dos Serviços: 12 (doze) meses</t>
  </si>
  <si>
    <t>Dados para Pagamento:</t>
  </si>
  <si>
    <t>Banco (Nome/nº):                   - Agência:                    - Conta:</t>
  </si>
  <si>
    <t>Informações para Assinatura do Contrato:</t>
  </si>
  <si>
    <t>Nome do Representante:</t>
  </si>
  <si>
    <t>Cargo:</t>
  </si>
  <si>
    <t>RG:</t>
  </si>
  <si>
    <t>CPF:</t>
  </si>
  <si>
    <t>Telefone/Fax:                     E-mail:</t>
  </si>
  <si>
    <t>Local e data</t>
  </si>
  <si>
    <t>Assinatura e Nome do Representante Legal da Empresa</t>
  </si>
  <si>
    <t>– Indicação dos acordos, convenções ou dissídios coletivos de trabalho:</t>
  </si>
  <si>
    <t>– Indicação do regime tributário da empresa:</t>
  </si>
  <si>
    <t>– Validade da Proposta de Preços:  60 (sessenta) dias, a contar da data de apresentação.</t>
  </si>
  <si>
    <t>– Prazo de Execução dos Serviços: 12 (doze) meses.</t>
  </si>
  <si>
    <t>Dados para pagamento:</t>
  </si>
  <si>
    <t>– Banco (Nome/nº): – Agência: – Conta:</t>
  </si>
  <si>
    <t>Informações para assinatura do Contrato:</t>
  </si>
  <si>
    <t>– Nome:</t>
  </si>
  <si>
    <t>– Cargo:</t>
  </si>
  <si>
    <t>– RG:</t>
  </si>
  <si>
    <t>– CPF:</t>
  </si>
  <si>
    <t>–Telefone/Fax: E-mail:</t>
  </si>
  <si>
    <t>Local e data.</t>
  </si>
  <si>
    <t>Planilha Estimativa de Custos</t>
  </si>
  <si>
    <t>Serviço Continuado de Locação de Veículo com e sem Motorista</t>
  </si>
  <si>
    <t>PLANILHA DE FORMAÇÃO DE PREÇOS</t>
  </si>
  <si>
    <t>HORAS EXTRAS</t>
  </si>
  <si>
    <t>MOTORISTA (SEDAN)</t>
  </si>
  <si>
    <t>SEDAN</t>
  </si>
  <si>
    <t>FURGÃO</t>
  </si>
  <si>
    <t>PERNOITE</t>
  </si>
  <si>
    <t>ALIMENTAÇÃO</t>
  </si>
  <si>
    <t>PEDÁGIO</t>
  </si>
  <si>
    <t>#</t>
  </si>
  <si>
    <t>UNIDADE</t>
  </si>
  <si>
    <t>ISS</t>
  </si>
  <si>
    <t>VALOR/MÊS</t>
  </si>
  <si>
    <t>QTD</t>
  </si>
  <si>
    <t>VALOR FIXO/MÊS</t>
  </si>
  <si>
    <t>R$/km rodado</t>
  </si>
  <si>
    <t>km/mês</t>
  </si>
  <si>
    <t>R$</t>
  </si>
  <si>
    <t>R$/DIA</t>
  </si>
  <si>
    <t>R$/HORA</t>
  </si>
  <si>
    <t>VALOR MÉDIO</t>
  </si>
  <si>
    <t>TOTAL</t>
  </si>
  <si>
    <t>GERÊNCIA EXECUTIVA CASCAVEL</t>
  </si>
  <si>
    <t>GERÊNCIA EXECUTIVA CURITIBA</t>
  </si>
  <si>
    <t>GERÊNCIA EXECUTIVA MARINGÁ</t>
  </si>
  <si>
    <t>GERÊNCIA EXECUTIVA LONDRINA</t>
  </si>
  <si>
    <t>GERÊNCIA EXECUTIVA PONTA GROSSA</t>
  </si>
  <si>
    <t>GERÊNCIA EXECUTIVA PORTO ALEGRE</t>
  </si>
  <si>
    <t>GERÊNCIA EXECUTIVA CAXIAS DO SUL</t>
  </si>
  <si>
    <t>GERÊNCIA EXECUTIVA PELOTAS</t>
  </si>
  <si>
    <t>GERÊNCIA EXECUTIVA IJUÍ</t>
  </si>
  <si>
    <t>GERÊNCIA EXECUTIVA URUGUAIANA</t>
  </si>
  <si>
    <t>GERÊNCIA EXECUTIVA SANTA MARIA</t>
  </si>
  <si>
    <t>GERÊNCIA EXECUTIVA PASSO FUNDO</t>
  </si>
  <si>
    <t>MENSAL</t>
  </si>
  <si>
    <t>ANUAL</t>
  </si>
  <si>
    <t>TOTAL GERAL</t>
  </si>
  <si>
    <t>PLANILHA DE INFORMAÇÕES E QUANTIDADES</t>
  </si>
  <si>
    <t>Postos</t>
  </si>
  <si>
    <t>Valores Variáveis</t>
  </si>
  <si>
    <t>Unidade</t>
  </si>
  <si>
    <t>Endereço</t>
  </si>
  <si>
    <t>Motorista Sedan</t>
  </si>
  <si>
    <t>Qtde Veículo Passeio (Sedan)</t>
  </si>
  <si>
    <t>Limite km/mês (por veículo Sedan)</t>
  </si>
  <si>
    <t>Limite km/mês (por veículo furgão)</t>
  </si>
  <si>
    <t>Alimentação Motorista (demanda – /mês)</t>
  </si>
  <si>
    <t>Pernoite (por demanda – /mês)</t>
  </si>
  <si>
    <t>Hora Extra SEDAN (por demanda –mês)</t>
  </si>
  <si>
    <t>Hora Extra FURGÃO (por demanda – mês)</t>
  </si>
  <si>
    <t>Pedágio (mês)</t>
  </si>
  <si>
    <t>Rua General Osório, 3423, Centro</t>
  </si>
  <si>
    <t>Av. XV de Novembro, 491</t>
  </si>
  <si>
    <t>Av. Duque de Caxias, 1135</t>
  </si>
  <si>
    <t>Rua Marques do Paraná, 799</t>
  </si>
  <si>
    <t>TOTAIS</t>
  </si>
  <si>
    <t>Rua Jerônimo Coelho, 127</t>
  </si>
  <si>
    <t>Rua Visconde de Pelotas, 2280</t>
  </si>
  <si>
    <t>Rua Almirante Barroso, 1883, Centro</t>
  </si>
  <si>
    <t>Rua 20 de Setembro, 275, Centro</t>
  </si>
  <si>
    <t>Rua Tiradentes, 2781, Centro</t>
  </si>
  <si>
    <t>Rua Venâncio Aires, 2114, Centro</t>
  </si>
  <si>
    <t>Rua General Osório, 1244</t>
  </si>
  <si>
    <t>QTD / MÊS</t>
  </si>
  <si>
    <t>Sedan</t>
  </si>
  <si>
    <t>Alimentação</t>
  </si>
  <si>
    <t>Pernoite</t>
  </si>
  <si>
    <t>Hora Extra</t>
  </si>
  <si>
    <t>PLANILHA DE FORMAÇÃO DE PREÇOS DA MÃO DE OBRA</t>
  </si>
  <si>
    <t>ESTADO DO PARANÁ</t>
  </si>
  <si>
    <t>Salário Normativo da Categoria:</t>
  </si>
  <si>
    <t>Data base da Categoria:</t>
  </si>
  <si>
    <t>Convenção Coletiva:</t>
  </si>
  <si>
    <t>PR002526/2022</t>
  </si>
  <si>
    <t>CBO/MTE:</t>
  </si>
  <si>
    <t>7823-05</t>
  </si>
  <si>
    <t>7823-10</t>
  </si>
  <si>
    <t>CUSTOS</t>
  </si>
  <si>
    <t>Percentuais e Valores de Referência</t>
  </si>
  <si>
    <t>MOTORISTA (veículo passeio)</t>
  </si>
  <si>
    <t>MOTORISTA (furgão)</t>
  </si>
  <si>
    <t>MÓDULO 1: COMPOSIÇÃO DA REMUNERAÇÃO</t>
  </si>
  <si>
    <t>1 - Composição da Remuneração</t>
  </si>
  <si>
    <t>Valores/Percentuais</t>
  </si>
  <si>
    <t xml:space="preserve">Valor (R$) </t>
  </si>
  <si>
    <t xml:space="preserve">    A - Salário-Base</t>
  </si>
  <si>
    <t xml:space="preserve">    B - Adicional de Periculosidade</t>
  </si>
  <si>
    <t xml:space="preserve">    C - Adicional de Insalubridade</t>
  </si>
  <si>
    <t xml:space="preserve">    D - Adicional Noturno (20%)</t>
  </si>
  <si>
    <t xml:space="preserve">    E - Adicional de Hora Noturna Reduzida</t>
  </si>
  <si>
    <t xml:space="preserve">    F - Adicional de Hora Extra no Feriado Trabalhado (HE normal 50%)</t>
  </si>
  <si>
    <t xml:space="preserve">    E - Outros (especificar)</t>
  </si>
  <si>
    <t>Total</t>
  </si>
  <si>
    <t>MÓDULO 2: ENCARGOS E BENEFÍCIOS ANUAIS, MENSAIS E DIÁRIOS</t>
  </si>
  <si>
    <t>2.1 - 13º Salário, Férias e Adicional de Férias</t>
  </si>
  <si>
    <t>Percentuais</t>
  </si>
  <si>
    <t xml:space="preserve">    A - 13º salário</t>
  </si>
  <si>
    <t xml:space="preserve">    B - Férias e Adicional de Férias</t>
  </si>
  <si>
    <t>Subtotal</t>
  </si>
  <si>
    <r>
      <t xml:space="preserve">2.2 - GPS, FGTS e outras contribuições </t>
    </r>
    <r>
      <rPr>
        <b/>
        <sz val="10"/>
        <color rgb="FFFF0000"/>
        <rFont val="Times New Roman"/>
        <family val="1"/>
      </rPr>
      <t>(Incide sobre os Módulos 1 e 2.1)</t>
    </r>
  </si>
  <si>
    <t xml:space="preserve">    A - INSS</t>
  </si>
  <si>
    <t xml:space="preserve">    B - Salário Educação</t>
  </si>
  <si>
    <t xml:space="preserve">    C - SAT</t>
  </si>
  <si>
    <t xml:space="preserve">    D - SESI ou SESC</t>
  </si>
  <si>
    <t xml:space="preserve">    E - SENAI ou SENAC</t>
  </si>
  <si>
    <t xml:space="preserve">    F - SEBRAE</t>
  </si>
  <si>
    <t xml:space="preserve">    G - INCRA</t>
  </si>
  <si>
    <t xml:space="preserve">    F - FGTS</t>
  </si>
  <si>
    <t>2.3 - Benefícios Mensais e Diários</t>
  </si>
  <si>
    <t>Valores</t>
  </si>
  <si>
    <t xml:space="preserve">    A - Transporte</t>
  </si>
  <si>
    <t xml:space="preserve">    B - Auxílio-Refeição/Alimentação (CCT PR desconta 10%)</t>
  </si>
  <si>
    <t xml:space="preserve">    C - Assistência Médica e Familiar</t>
  </si>
  <si>
    <t xml:space="preserve">    D - Seguro de Vida</t>
  </si>
  <si>
    <t xml:space="preserve">    E - Cesta Básica</t>
  </si>
  <si>
    <t xml:space="preserve">    F - Outros (especificar)</t>
  </si>
  <si>
    <t>2 - Encargos e Benefícios Anuais, Mensais e Diários</t>
  </si>
  <si>
    <t xml:space="preserve">    2.1 - 13º Salário e Adicional de Férias</t>
  </si>
  <si>
    <t xml:space="preserve">    2.2 - GPS, FGTS e outras contribuições</t>
  </si>
  <si>
    <t xml:space="preserve">    2.3 - Benefícios Mensais e Diários</t>
  </si>
  <si>
    <t>MÓDULO 3: PROVISÃO PARA RESCISÃO</t>
  </si>
  <si>
    <t>3 - Provisão para Rescisão</t>
  </si>
  <si>
    <t xml:space="preserve">    A - Aviso Prévio Indenizado</t>
  </si>
  <si>
    <t xml:space="preserve">    B - Incidência do FGTS sobre Aviso Prévio Indenizado</t>
  </si>
  <si>
    <t xml:space="preserve">    C - Multa do FGTS e contribuições sociais sobre o Aviso Prévio Indenizado</t>
  </si>
  <si>
    <t xml:space="preserve">    D - Aviso Prévio Trabalhado</t>
  </si>
  <si>
    <t xml:space="preserve">    E - Incidência do submódulo 2.2 sobre o Aviso Prévio Trabalhado</t>
  </si>
  <si>
    <t xml:space="preserve">    F - Multa do FGTS e contribuição social nas rescisões sem justa causa</t>
  </si>
  <si>
    <t>MÓDULO 4: CUSTO DE REPOSIÇÃO DO PROFISSIONAL AUSENTE</t>
  </si>
  <si>
    <t>4.1 - Substituto nas Ausências Legais</t>
  </si>
  <si>
    <t xml:space="preserve">    A - Substituto na cobertura de Férias</t>
  </si>
  <si>
    <t xml:space="preserve">    B - Substituto na cobertura de Ausências Legais</t>
  </si>
  <si>
    <t xml:space="preserve">    C - Substituto na cobertura de Licença Paternidade</t>
  </si>
  <si>
    <t xml:space="preserve">    D - Substituto na cobertura de Ausências por Acidente de Trabalho</t>
  </si>
  <si>
    <t>4.2 - Substituto na Intrajornada</t>
  </si>
  <si>
    <t xml:space="preserve">    A - Substituto na Cobertura de Intervalo para Repouso ou Alimentação</t>
  </si>
  <si>
    <t>4.3 - Afastamento Maternidade</t>
  </si>
  <si>
    <t xml:space="preserve">    A - Afastamento Maternidade</t>
  </si>
  <si>
    <t>4.4 - Intrajornada Indenizada</t>
  </si>
  <si>
    <t xml:space="preserve">    A - Intrajornada Indenizada</t>
  </si>
  <si>
    <t>4 - Custo de Reposição do Profissional Ausente</t>
  </si>
  <si>
    <t xml:space="preserve">    4.1 - Substituto nas Ausências Legais</t>
  </si>
  <si>
    <t xml:space="preserve">    4.2 - Substituto na Intrajornada</t>
  </si>
  <si>
    <t xml:space="preserve">    4.3 - Afastamento Maternidade</t>
  </si>
  <si>
    <t xml:space="preserve">    4.4 - Intrajornada Indenizada</t>
  </si>
  <si>
    <t>MÓDULO 5: INSUMOS DIVERSOS</t>
  </si>
  <si>
    <t>5 - Insumos Diversos</t>
  </si>
  <si>
    <t xml:space="preserve">    A - Uniformes</t>
  </si>
  <si>
    <t xml:space="preserve">    B - Materiais</t>
  </si>
  <si>
    <t xml:space="preserve">    C - Utensílios</t>
  </si>
  <si>
    <t xml:space="preserve">    C - Equipamentos (Depreciação)</t>
  </si>
  <si>
    <t xml:space="preserve">    D - Plano de Celular</t>
  </si>
  <si>
    <t>MÓDULO 6: CUSTOS INDIRETOS, TRIBUTOS E LUCRO</t>
  </si>
  <si>
    <t>6 - Custos Indiretos, Tributos e Lucro</t>
  </si>
  <si>
    <t xml:space="preserve">    A - Custos Indiretos</t>
  </si>
  <si>
    <t xml:space="preserve">    B - Lucro</t>
  </si>
  <si>
    <t xml:space="preserve">    C - Tributos (ISS 3%)</t>
  </si>
  <si>
    <t xml:space="preserve">        C.1 - Tributos Federais (PIS e COFINS)</t>
  </si>
  <si>
    <t xml:space="preserve">        C.3 - Tributos Municipais (ISS)</t>
  </si>
  <si>
    <t xml:space="preserve">    C - Tributos (ISS 5%)</t>
  </si>
  <si>
    <t>Total Tributos por ISS Municipal</t>
  </si>
  <si>
    <t>QUADRO RESUMO DO CUSTO POR EMPREGADO</t>
  </si>
  <si>
    <t>Motorista (veículo passeio)</t>
  </si>
  <si>
    <t>Motorista (furgão)</t>
  </si>
  <si>
    <t>Mão-de-obra vinculada à execução contratual (valor por empregado)</t>
  </si>
  <si>
    <t xml:space="preserve">    A - Módulo 1 - Composição da Remuneração</t>
  </si>
  <si>
    <t xml:space="preserve">    B - Módulo 2 - Encargos e Benefícios Anuais, Mensais e Diários</t>
  </si>
  <si>
    <t xml:space="preserve">    C - Módulo 3 - Provisão para Rescisão</t>
  </si>
  <si>
    <t xml:space="preserve">    D - Módulo 4 - Custos de Reposição do Profissional Ausente</t>
  </si>
  <si>
    <t xml:space="preserve">    E - Módulo 5 - Insumos Diversos</t>
  </si>
  <si>
    <t>Subtotal (A + B + C + D + E)</t>
  </si>
  <si>
    <t xml:space="preserve">    F - Módulo 6 - Custos Indiretos, Tributos e Lucro (ISS 3,00%)</t>
  </si>
  <si>
    <t xml:space="preserve">    F - Módulo 6 - Custos Indiretos, Tributos e Lucro (ISS 5,00%)</t>
  </si>
  <si>
    <t>VALOR TOTAL POR EMPREGADO / MÊS</t>
  </si>
  <si>
    <t>ISS 3,00%</t>
  </si>
  <si>
    <t>ISS 5,00%</t>
  </si>
  <si>
    <r>
      <t xml:space="preserve">OBS: As células com fonte em </t>
    </r>
    <r>
      <rPr>
        <sz val="10"/>
        <color rgb="FF3333FF"/>
        <rFont val="Arial"/>
        <family val="2"/>
      </rPr>
      <t>AZUL</t>
    </r>
    <r>
      <rPr>
        <sz val="10"/>
        <color theme="1"/>
        <rFont val="Arial"/>
        <family val="2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</t>
    </r>
    <r>
      <rPr>
        <sz val="10"/>
        <color theme="1"/>
        <rFont val="Arial"/>
        <family val="2"/>
      </rPr>
      <t xml:space="preserve">
Nas alterações, devem ser observadas as disposições das respectivas CCTs, tarifas em vigor, além da legislação trabalhista e tributária vigente.</t>
    </r>
  </si>
  <si>
    <t xml:space="preserve">    B - Auxílio-Refeição/Alimentação</t>
  </si>
  <si>
    <t xml:space="preserve">    C - Tributos (ISS 2%)</t>
  </si>
  <si>
    <t xml:space="preserve">    F - Módulo 6 - Custos Indiretos, Tributos e Lucro (ISS 2,00%)</t>
  </si>
  <si>
    <t>ISS 2,00%</t>
  </si>
  <si>
    <t>ESTADO DO RIO GRANDE DO SUL</t>
  </si>
  <si>
    <t xml:space="preserve">    D - Adicional Noturno (25%)</t>
  </si>
  <si>
    <t xml:space="preserve">    C - Tributos (ISS 3,5%)</t>
  </si>
  <si>
    <t xml:space="preserve">    F - Módulo 6 - Custos Indiretos, Tributos e Lucro (ISS 4,00%)</t>
  </si>
  <si>
    <t>ISS 3,50%</t>
  </si>
  <si>
    <t>ISS 4,00%</t>
  </si>
  <si>
    <t>Serviço Continuado de Locação de Veículo com  e sem Motorista</t>
  </si>
  <si>
    <t>COMPOSIÇÃO DOS CUSTOS FIXOS PARA DISPONIBILIZAÇÃO DE VEÍCULO</t>
  </si>
  <si>
    <t xml:space="preserve">   MÓDULO 1: COMPOSIÇÃO DOS CUSTOS FIXOS PARA DISPONIBILIZAÇÃO DE VEÍCULO</t>
  </si>
  <si>
    <t>CUSTOS FIXOS PARA DISPONIBILIZAÇÃO DE VEÍCULO – VALOR MENSAL</t>
  </si>
  <si>
    <t>PR</t>
  </si>
  <si>
    <t>RS</t>
  </si>
  <si>
    <t xml:space="preserve">    Item</t>
  </si>
  <si>
    <t>Valor (R$)</t>
  </si>
  <si>
    <t xml:space="preserve">    A - Disponibilização do Veículo – Depreciação anual</t>
  </si>
  <si>
    <t xml:space="preserve">    B - Licenciamento Anual</t>
  </si>
  <si>
    <t xml:space="preserve">    C - Seguro Obrigatório</t>
  </si>
  <si>
    <t xml:space="preserve">    D - IPVA</t>
  </si>
  <si>
    <t xml:space="preserve">    E - Seguro do Veículo</t>
  </si>
  <si>
    <t xml:space="preserve">    F - Lavagem (2x por mês)</t>
  </si>
  <si>
    <t xml:space="preserve">    G - Outros (especificar)</t>
  </si>
  <si>
    <t>Subtotal Custos Fixos</t>
  </si>
  <si>
    <t xml:space="preserve">   MÓDULO 2: CUSTOS INDIRETOS, TRIBUTOS E LUCRO</t>
  </si>
  <si>
    <t>Custos Indiretos, Tributos e Lucro</t>
  </si>
  <si>
    <t xml:space="preserve">    B – Lucro</t>
  </si>
  <si>
    <t xml:space="preserve">    C – Tributos (ISS 2%)</t>
  </si>
  <si>
    <t xml:space="preserve">    C.1 - Tributos Federais (PIS, COFINS)</t>
  </si>
  <si>
    <t xml:space="preserve">    C.2 - Tributos Estaduais/Municipais (ISSQN)</t>
  </si>
  <si>
    <t xml:space="preserve">    C – Tributos (ISS 3%)</t>
  </si>
  <si>
    <t xml:space="preserve">    C – Tributos (ISS 3,5%)</t>
  </si>
  <si>
    <t xml:space="preserve">    C – Tributos (ISS 4%)</t>
  </si>
  <si>
    <t xml:space="preserve">    C – Tributos (ISS 5%)</t>
  </si>
  <si>
    <t>Total Custos Indiretos, Tributos e Lucro, por ISS Municipal</t>
  </si>
  <si>
    <t>QUADRO RESUMO DO CUSTO VARIÁVEL POR VEÍCULO</t>
  </si>
  <si>
    <t xml:space="preserve">    A - Módulo 1 - Composição dos Custos Variáveis para Disponibilização de Veículo</t>
  </si>
  <si>
    <t xml:space="preserve">    B - Módulo 2 - Custos Indiretos, Tributos e Lucro (ISS 2,00%)</t>
  </si>
  <si>
    <t xml:space="preserve">    B - Módulo 2 - Custos Indiretos, Tributos e Lucro (ISS 3,00%)</t>
  </si>
  <si>
    <t xml:space="preserve">    B - Módulo 2 - Custos Indiretos, Tributos e Lucro (ISS 3,50%)</t>
  </si>
  <si>
    <t xml:space="preserve">    B - Módulo 2 - Custos Indiretos, Tributos e Lucro (ISS 4,00%)</t>
  </si>
  <si>
    <t xml:space="preserve">    B - Módulo 2 - Custos Indiretos, Tributos e Lucro (ISS 5,00%)</t>
  </si>
  <si>
    <t>TOTAL DO PREÇO FIXO – VEÍCULO/MÊS</t>
  </si>
  <si>
    <t>COMPOSIÇÃO DOS CUSTOS VARIÁVEIS PARA DISPONIBILIZAÇÃO DE VEÍCULO</t>
  </si>
  <si>
    <t xml:space="preserve">   MÓDULO 1: COMPOSIÇÃO DOS CUSTOS VARIÁVEIS PARA DISPONIBILIZAÇÃO DE VEÍCULO</t>
  </si>
  <si>
    <t>CUSTOS FIXOS PARA DISPONIBILIZAÇÃO DE VEÍCULO</t>
  </si>
  <si>
    <t>Insumos Diversos (p/cada 1.000 km)</t>
  </si>
  <si>
    <t xml:space="preserve">    A - Manutenção (peças, acessórios, materiais e mão de obra)</t>
  </si>
  <si>
    <t xml:space="preserve">    B - Óleo e Filtro do Motor</t>
  </si>
  <si>
    <t xml:space="preserve">    C - Pneus</t>
  </si>
  <si>
    <t>Custos variáveis vinculados à execução contratual (mediante demanda)</t>
  </si>
  <si>
    <t>TOTAL DO PREÇO FIXO –  VEÍCULO/1.000 KM</t>
  </si>
  <si>
    <t>TOTAL DO PREÇO FIXO –  KM RODADO</t>
  </si>
  <si>
    <r>
      <t xml:space="preserve">OBS: As células com fonte em </t>
    </r>
    <r>
      <rPr>
        <sz val="10"/>
        <color rgb="FF3333FF"/>
        <rFont val="Calibri"/>
        <family val="2"/>
      </rPr>
      <t>AZUL</t>
    </r>
    <r>
      <rPr>
        <sz val="10"/>
        <color theme="1"/>
        <rFont val="Calibri"/>
        <family val="2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
* O valor do combustível não será alvo de disputa e não poderá ser inferior ao estimado pela Administração. O combustível será pago conforme item 10.1.7 do Edital.</t>
    </r>
  </si>
  <si>
    <t>MEMÓRIA DE CÁLCULO DOS VEÍCULOS</t>
  </si>
  <si>
    <t>VEÍCULO PASSEIO</t>
  </si>
  <si>
    <t>MARCA</t>
  </si>
  <si>
    <t>FIAT</t>
  </si>
  <si>
    <t>GM</t>
  </si>
  <si>
    <t>RENAULT</t>
  </si>
  <si>
    <t>MÉDIAS</t>
  </si>
  <si>
    <t>MODELO</t>
  </si>
  <si>
    <t>Cronos</t>
  </si>
  <si>
    <t>Onix Plus</t>
  </si>
  <si>
    <t>Logan</t>
  </si>
  <si>
    <t>GERAL</t>
  </si>
  <si>
    <t>Motor</t>
  </si>
  <si>
    <t>1.3</t>
  </si>
  <si>
    <t>1.0</t>
  </si>
  <si>
    <t>Potência Máxima (A/G)</t>
  </si>
  <si>
    <t>109/101 cv</t>
  </si>
  <si>
    <t>82/78 cv</t>
  </si>
  <si>
    <t>82/79 cv</t>
  </si>
  <si>
    <t>Consumo Cidade (km/l – gasolina)</t>
  </si>
  <si>
    <t>* 60% estrada, 40% cidade</t>
  </si>
  <si>
    <t>Consumo Estrada (km/l – gasolina)</t>
  </si>
  <si>
    <t>14,9</t>
  </si>
  <si>
    <t>** Desconto de 10% para ajuste de condições diversas de tráfego</t>
  </si>
  <si>
    <t>Tipo Pneus</t>
  </si>
  <si>
    <t>185/60 R15</t>
  </si>
  <si>
    <t>185/65 R15</t>
  </si>
  <si>
    <t>205/55 R16</t>
  </si>
  <si>
    <t>*** Utilizada média 13 km/l</t>
  </si>
  <si>
    <t>Porta Malas</t>
  </si>
  <si>
    <t>525 litros</t>
  </si>
  <si>
    <t>469 litros</t>
  </si>
  <si>
    <t>510 litros</t>
  </si>
  <si>
    <t>Procedência</t>
  </si>
  <si>
    <t>Nacional</t>
  </si>
  <si>
    <t>Classificação PBE (Absoluta)</t>
  </si>
  <si>
    <t>B</t>
  </si>
  <si>
    <t>Classificação PBE (Relativa na Categoria)</t>
  </si>
  <si>
    <t>A</t>
  </si>
  <si>
    <t>VALOR DO VEÍCULO (site montadora)</t>
  </si>
  <si>
    <t>VALOR DO VEÍCULO (FIPE)</t>
  </si>
  <si>
    <t>VALOR DO VEÍCULO (carrosnaweb.com.br ou icarros)</t>
  </si>
  <si>
    <t>VALOR MÉDIO DO VEÍCULO</t>
  </si>
  <si>
    <t>Depreciação/Amortização (20% ao ano)</t>
  </si>
  <si>
    <t>Seguro Obrigatório (DPVAT = R$ 0,00)</t>
  </si>
  <si>
    <t>CNSP nº 399/2020</t>
  </si>
  <si>
    <t>IPVA PR (3,5%)</t>
  </si>
  <si>
    <t>Lei nº 14.260/2003</t>
  </si>
  <si>
    <t>IPVA RS (3%)</t>
  </si>
  <si>
    <t>Lei nº 8.115/85</t>
  </si>
  <si>
    <t>Seguros (4% / ano)</t>
  </si>
  <si>
    <t>Manutenção (Revisão, mão de obra e peças) (2% p/revisão – R$/1.000 km)</t>
  </si>
  <si>
    <t>Revisão</t>
  </si>
  <si>
    <t>10.000 km</t>
  </si>
  <si>
    <t>VEÍCULO DE CARGA (FURGÃO)</t>
  </si>
  <si>
    <t>IVECO</t>
  </si>
  <si>
    <t>Ducato</t>
  </si>
  <si>
    <t>Daily 30-130 City</t>
  </si>
  <si>
    <t>Master L1H1</t>
  </si>
  <si>
    <t>2.3</t>
  </si>
  <si>
    <t>Potência</t>
  </si>
  <si>
    <t>130 cv</t>
  </si>
  <si>
    <t>Consumo Cidade (km/l – diesel)</t>
  </si>
  <si>
    <t>Consumo Estrada (km/l – diesel)</t>
  </si>
  <si>
    <t>215/75 R16</t>
  </si>
  <si>
    <t>205/75 R16</t>
  </si>
  <si>
    <t>225/65 R16</t>
  </si>
  <si>
    <t>*** Utilizada média 7,5 km/l</t>
  </si>
  <si>
    <t>Carga</t>
  </si>
  <si>
    <t>8.000 litros</t>
  </si>
  <si>
    <t>7.300 litros</t>
  </si>
  <si>
    <t>Importado</t>
  </si>
  <si>
    <t>E</t>
  </si>
  <si>
    <t>-</t>
  </si>
  <si>
    <t>C</t>
  </si>
  <si>
    <t>VALOR DO VEÍCULO (carrosnaweb.com.br/icarros ou mobiauto)</t>
  </si>
  <si>
    <t>Depreciação/Amortização (25% ao ano)</t>
  </si>
  <si>
    <t>Manutenção (Revisão, mão de obra e peças) (1% p/revisão – R$/1.000 km)</t>
  </si>
  <si>
    <t>15.000 km</t>
  </si>
  <si>
    <t>20.000 km</t>
  </si>
  <si>
    <t>PESQUISA DE PREÇOS – COMBUSTÍVEIS</t>
  </si>
  <si>
    <t>DIESEL</t>
  </si>
  <si>
    <t>GASOLINA</t>
  </si>
  <si>
    <t>Média estadual</t>
  </si>
  <si>
    <t>COMPOSIÇÃO DOS CUSTOS DE PEDÁGIO</t>
  </si>
  <si>
    <t xml:space="preserve">   MÓDULO 1: COMPOSIÇÃO DOS CUSTOS DE PEDÁGIO</t>
  </si>
  <si>
    <t xml:space="preserve">    Valor Médio Unitário</t>
  </si>
  <si>
    <r>
      <t xml:space="preserve">* O valor do </t>
    </r>
    <r>
      <rPr>
        <sz val="10"/>
        <color rgb="FFCC0000"/>
        <rFont val="Calibri"/>
        <family val="2"/>
      </rPr>
      <t>COMBUSTÍVEL e PEDÁGIOS NÃO SERÃO ALVOS DE DISPUTA</t>
    </r>
    <r>
      <rPr>
        <sz val="10"/>
        <color theme="1"/>
        <rFont val="Calibri"/>
        <family val="2"/>
      </rPr>
      <t xml:space="preserve"> e não poderá ser inferior ao estimado pela Administração. O combustível será pago conforme item 10.1.7 do Termo de Referência.</t>
    </r>
  </si>
  <si>
    <t>PESQUISA DE PREÇOS DE VALE TRANSPORTE</t>
  </si>
  <si>
    <t>VT</t>
  </si>
  <si>
    <t>QTD PESSOAL</t>
  </si>
  <si>
    <t>MÉDIA PONDERADA</t>
  </si>
  <si>
    <r>
      <t xml:space="preserve">OBS: As células com fonte em </t>
    </r>
    <r>
      <rPr>
        <sz val="10"/>
        <color rgb="FF3333FF"/>
        <rFont val="Calibri"/>
        <family val="2"/>
      </rPr>
      <t>AZUL</t>
    </r>
    <r>
      <rPr>
        <sz val="10"/>
        <color theme="1"/>
        <rFont val="Calibri"/>
        <family val="2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</t>
    </r>
  </si>
  <si>
    <t>PESQUISA DE PREÇOS DE UNIFORME</t>
  </si>
  <si>
    <t>Descrição</t>
  </si>
  <si>
    <t>Custo médio Unitário</t>
  </si>
  <si>
    <t>Quantidade
Fornecida por ano</t>
  </si>
  <si>
    <t>Custo Anual por profissional</t>
  </si>
  <si>
    <t>Custo Mensal por profissional</t>
  </si>
  <si>
    <t>Camisa social</t>
  </si>
  <si>
    <t>Calça social</t>
  </si>
  <si>
    <t>Crachá</t>
  </si>
  <si>
    <t>CUSTO MENSAL POR EMPREGADO – MOTORISTA</t>
  </si>
  <si>
    <t>UNIFORME E EQUIPAMENTOS DE USO PESSOAL – MOTORISTA - RS</t>
  </si>
  <si>
    <t>Operadora</t>
  </si>
  <si>
    <t>Valor</t>
  </si>
  <si>
    <t>Tim</t>
  </si>
  <si>
    <t>Vivo</t>
  </si>
  <si>
    <t>Claro</t>
  </si>
  <si>
    <t>MÉDIA</t>
  </si>
  <si>
    <t>COMPOSIÇÃO DOS CUSTOS DE PERNOITE, ALIMENTAÇÃO E HORA EXTRA</t>
  </si>
  <si>
    <t>VALORES CCTs</t>
  </si>
  <si>
    <t>PERNOITE*</t>
  </si>
  <si>
    <t>CAFÉ</t>
  </si>
  <si>
    <t>ALMOÇO</t>
  </si>
  <si>
    <t>JANTAR</t>
  </si>
  <si>
    <t>SUBTOTAL ALIMENTAÇÃO **</t>
  </si>
  <si>
    <t>HORA EXTRA (ADICIONAL)</t>
  </si>
  <si>
    <t>COMPOSIÇÃO DOS CUSTOS DE PERNOITE E ALIMENTAÇÃO</t>
  </si>
  <si>
    <t xml:space="preserve">   MÓDULO 1: COMPOSIÇÃO DOS CUSTOS DE PERNOITE E ALIMENTAÇÃO</t>
  </si>
  <si>
    <t xml:space="preserve">    Valor / dia</t>
  </si>
  <si>
    <t>QUADRO RESUMO DO CUSTO VARIÁVEL POR EMPREGADO</t>
  </si>
  <si>
    <t>VALOR / DIA</t>
  </si>
  <si>
    <t>RS001651/2022</t>
  </si>
  <si>
    <t xml:space="preserve">    B - Auxílio-Refeição/Alimentação ( desconto 20%)</t>
  </si>
  <si>
    <t xml:space="preserve">    E - Cesta Básica ( desconto de R$6,00)</t>
  </si>
  <si>
    <t>UNIFORME E EQUIPAMENTOS DE USO PESSOAL – MOTORISTA - RS - STM</t>
  </si>
  <si>
    <t>RS-STM</t>
  </si>
  <si>
    <t xml:space="preserve">RIO GRANDE DO SUL - STM </t>
  </si>
  <si>
    <t>RS003831/2021</t>
  </si>
  <si>
    <t>*** A CCT RS e RS - STM preveem que quando em viagem a serviço, a indenização das refeições (café, almoço e janta) substitui o vale-refeição, desta forma, no subtotal alimentação, está descontado o valor do vale-refeição devido pela empresa (RS: 21,1*0,8=16,88; RS – STM: 27,68*0,8=22,14)</t>
  </si>
  <si>
    <t>PREGÃO Nº 04/2023</t>
  </si>
  <si>
    <t>PROCESSO ADMINISTRATIVO Nº 35014.022869/2023-35</t>
  </si>
  <si>
    <t>Processo nº 35014.022869/2023-35</t>
  </si>
  <si>
    <t>Processo nº  35014.022869/2023-35</t>
  </si>
  <si>
    <t>UNIFORME E EQUIPAMENTOS DE USO PESSOAL – MOTORISTA - PR</t>
  </si>
  <si>
    <t xml:space="preserve">Rua João Negrão, 11/21, Centro </t>
  </si>
  <si>
    <t>PR - PARANÁ -1</t>
  </si>
  <si>
    <t>PR - PARANÁ - 2</t>
  </si>
  <si>
    <t>RS - RIO GRANDE DO SUL -1</t>
  </si>
  <si>
    <t>RS - RIO GRANDE DO SUL -2</t>
  </si>
  <si>
    <t>Veículos Sedan</t>
  </si>
  <si>
    <t>Diária Furgão (por demanda – até 2 /mês)</t>
  </si>
  <si>
    <t>Furgão/diária</t>
  </si>
  <si>
    <t xml:space="preserve">GERÊNCIA EXECUTIVA LONDRINA  </t>
  </si>
  <si>
    <t>PARANÁ - 1</t>
  </si>
  <si>
    <t>PARANÁ - 2</t>
  </si>
  <si>
    <t>RIO GRANDE DO SUL - 2</t>
  </si>
  <si>
    <t>RIO GRANDE DO SUL - 1</t>
  </si>
  <si>
    <t>VALOR MÉDIO (Ref. período de 29/01/2023 a 04/02/2023)</t>
  </si>
  <si>
    <t xml:space="preserve">    D - Combustível (Médias km/l: Sedan 13  – Furgão 7,5)</t>
  </si>
  <si>
    <t>Mão-de-obra vinculada à execução contratual (valor por veículo)</t>
  </si>
  <si>
    <t xml:space="preserve">    F - Módulo 6 - Custos Indiretos, Tributos e Lucro (ISS 3,5%)</t>
  </si>
  <si>
    <t>VALOR TOTAL POR EMPREGADO / DIA
(R$ mês/220hx8h48min)</t>
  </si>
  <si>
    <t>VALOR TOTAL POR EMPREGADO / DIA (R$ mês/220hx8h48min)</t>
  </si>
  <si>
    <t xml:space="preserve">    C - Tributos (ISS 4,00%)</t>
  </si>
  <si>
    <t>VALOR FIXO/DIÁRIA</t>
  </si>
  <si>
    <t>PR - PARANÁ - 1</t>
  </si>
  <si>
    <t xml:space="preserve">RS - RIO GRANDE DO SUL -1 </t>
  </si>
  <si>
    <t>Valor mensal do Grupo 1</t>
  </si>
  <si>
    <t>Valor global do Grupo 1</t>
  </si>
  <si>
    <t>Valor mensal do Grupo 2</t>
  </si>
  <si>
    <t>Valor global do Grupo 2</t>
  </si>
  <si>
    <t>PARANÁ - G2</t>
  </si>
  <si>
    <t>PARANÁ - G1</t>
  </si>
  <si>
    <t>RIO GRANDE DO SUL - G3</t>
  </si>
  <si>
    <t>RIO GRANDE DO SUL - G4</t>
  </si>
  <si>
    <t>Custos variáveis, por demanda, relacionados ao motorista do Sedan e Furgão (Pernoites, horas extras, Alimentação) e Pedágio</t>
  </si>
  <si>
    <t>Licenciamento PR (R$ 90,94)</t>
  </si>
  <si>
    <t>Licenciamento RS (R$ 94,10)</t>
  </si>
  <si>
    <t>ANEXO I-D do TR – PLANILHA ESTIMATIVA DE CUSTOS</t>
  </si>
  <si>
    <t>ANEXO I-D do TR – PLANILHA ESTIMATIVA DE CUSTOSS</t>
  </si>
  <si>
    <t xml:space="preserve">CUSTO FIXO DA DIÁRIA DO FURGÃO ( DISPONIBILIZAÇÃO DO VÉICULO + MOTORISTA) - PESQUISA DE PAINEL DE PREÇOS </t>
  </si>
  <si>
    <t>Identificação da compra</t>
  </si>
  <si>
    <t>VALOR DA DIÁRIA</t>
  </si>
  <si>
    <t>PREGÃO</t>
  </si>
  <si>
    <t>Data da compra</t>
  </si>
  <si>
    <t>00008/2022</t>
  </si>
  <si>
    <t>00010/2022</t>
  </si>
  <si>
    <t>Órgão/UASG: 160044 - 23 BATALHAODE CACADORES/MEX - CE</t>
  </si>
  <si>
    <t>Órgão/UASG: 160041 - 40 BATALHAO DE INFANTARIA/MEX - CE</t>
  </si>
  <si>
    <t>Órgão/UASG: 160173 - MEX/31.BATALHAO DE INFANTARIA MOTORIZADO/PB</t>
  </si>
  <si>
    <t>00005/2022</t>
  </si>
  <si>
    <t>FURGÃO/DIÁRIA</t>
  </si>
  <si>
    <t xml:space="preserve">20%(S) </t>
  </si>
  <si>
    <t>QUADRO RESUMO DO CUSTO FIXO POR VEÍCULO</t>
  </si>
  <si>
    <t>Valor mensal do Grupo 4</t>
  </si>
  <si>
    <t>Valor global do Grupo 4</t>
  </si>
  <si>
    <t>Valor mensal do Grupo 3</t>
  </si>
  <si>
    <t>Valor global do Grupo 3</t>
  </si>
  <si>
    <r>
      <t>Automóvel de fabricação nacional,</t>
    </r>
    <r>
      <rPr>
        <b/>
        <sz val="10"/>
        <color rgb="FF000000"/>
        <rFont val="Calibri"/>
        <family val="2"/>
      </rPr>
      <t xml:space="preserve"> SEM MOTORISTA</t>
    </r>
    <r>
      <rPr>
        <sz val="10"/>
        <color rgb="FF000000"/>
        <rFont val="Calibri"/>
        <family val="2"/>
      </rPr>
      <t xml:space="preserve">,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 xml:space="preserve">a, 4 portas para passageiros, capacidade para 5 pessoas no mínimo, modelo e ano corrente, motor até 1.6, 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 </t>
    </r>
    <r>
      <rPr>
        <b/>
        <sz val="10"/>
        <color rgb="FF000000"/>
        <rFont val="Calibri"/>
        <family val="2"/>
      </rPr>
      <t>Londrina/PR e Maringá/PR.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</si>
  <si>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COM MOTORISTA,</t>
    </r>
    <r>
      <rPr>
        <sz val="10"/>
        <color rgb="FF000000"/>
        <rFont val="Calibri"/>
        <family val="2"/>
      </rPr>
      <t xml:space="preserve">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 xml:space="preserve">a, 4 portas para passageiros, capacidade para 5 pessoas no mínimo, modelo e ano corrente, motor até 1.6,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 </t>
    </r>
    <r>
      <rPr>
        <b/>
        <sz val="10"/>
        <color rgb="FF000000"/>
        <rFont val="Calibri"/>
        <family val="2"/>
      </rPr>
      <t>Cascavel/PR, Londrina/PR e Maringá/PR.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</si>
  <si>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COM MOTORISTA,</t>
    </r>
    <r>
      <rPr>
        <sz val="10"/>
        <color rgb="FF000000"/>
        <rFont val="Calibri"/>
        <family val="2"/>
      </rPr>
      <t xml:space="preserve">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 xml:space="preserve">a, 4 portas para passageiros, capacidade para 5 pessoas no mínimo, modelo e ano corrente, motor até 1.6, 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 </t>
    </r>
    <r>
      <rPr>
        <b/>
        <sz val="10"/>
        <color rgb="FF000000"/>
        <rFont val="Calibri"/>
        <family val="2"/>
      </rPr>
      <t>Curitiba/PR e Ponta Grossa/PR.</t>
    </r>
  </si>
  <si>
    <r>
      <rPr>
        <sz val="10"/>
        <color theme="1"/>
        <rFont val="Arial"/>
        <family val="2"/>
      </rPr>
      <t>Automóvel de fabricação nacional</t>
    </r>
    <r>
      <rPr>
        <sz val="11"/>
        <color theme="1"/>
        <rFont val="Arial"/>
        <family val="2"/>
      </rPr>
      <t>,</t>
    </r>
    <r>
      <rPr>
        <b/>
        <sz val="10"/>
        <color rgb="FF000000"/>
        <rFont val="Calibri"/>
        <family val="2"/>
      </rPr>
      <t xml:space="preserve"> COM MOTORISTA,</t>
    </r>
    <r>
      <rPr>
        <sz val="10"/>
        <color rgb="FF000000"/>
        <rFont val="Calibri"/>
        <family val="2"/>
      </rPr>
      <t xml:space="preserve">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>a, 4 portas para passageiros, capacidade para 5 pessoas no mínimo, modelo e ano corrente, motor até 1.6,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</t>
    </r>
    <r>
      <rPr>
        <b/>
        <sz val="10"/>
        <color rgb="FF000000"/>
        <rFont val="Calibri"/>
        <family val="2"/>
      </rPr>
      <t xml:space="preserve"> Porto Alegre/RS, Caxias do Sul/RS e Pelotas/RS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</si>
  <si>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SEM MOTORISTA</t>
    </r>
    <r>
      <rPr>
        <sz val="10"/>
        <color rgb="FF000000"/>
        <rFont val="Calibri"/>
        <family val="2"/>
      </rPr>
      <t xml:space="preserve">,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>a, 4 portas para passageiros, capacidade para 5 pessoas no mínimo, modelo e ano corrente, motor até 1.6,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 disponibilizado na Gerência em</t>
    </r>
    <r>
      <rPr>
        <b/>
        <sz val="10"/>
        <color rgb="FF000000"/>
        <rFont val="Calibri"/>
        <family val="2"/>
      </rPr>
      <t xml:space="preserve"> Ijuí/RS</t>
    </r>
    <r>
      <rPr>
        <sz val="10"/>
        <color rgb="FF000000"/>
        <rFont val="Calibri"/>
        <family val="2"/>
      </rPr>
      <t>.</t>
    </r>
  </si>
  <si>
    <r>
      <rPr>
        <sz val="10"/>
        <color theme="1"/>
        <rFont val="Arial"/>
        <family val="2"/>
      </rPr>
      <t>Automóvel de fabricação nacional</t>
    </r>
    <r>
      <rPr>
        <sz val="11"/>
        <color theme="1"/>
        <rFont val="Arial"/>
        <family val="2"/>
      </rPr>
      <t>,</t>
    </r>
    <r>
      <rPr>
        <b/>
        <sz val="10"/>
        <color rgb="FF000000"/>
        <rFont val="Calibri"/>
        <family val="2"/>
      </rPr>
      <t xml:space="preserve"> COM MOTORISTA,</t>
    </r>
    <r>
      <rPr>
        <sz val="10"/>
        <color rgb="FF000000"/>
        <rFont val="Calibri"/>
        <family val="2"/>
      </rPr>
      <t xml:space="preserve"> carrocerias tipo </t>
    </r>
    <r>
      <rPr>
        <b/>
        <sz val="10"/>
        <color rgb="FF000000"/>
        <rFont val="Calibri"/>
        <family val="2"/>
      </rPr>
      <t>sedan e/ou peru</t>
    </r>
    <r>
      <rPr>
        <sz val="10"/>
        <color rgb="FF000000"/>
        <rFont val="Calibri"/>
        <family val="2"/>
      </rPr>
      <t>a, 4 portas para passageiros, capacidade para 5 pessoas no mínimo, modelo e ano corrente, motor até 1.6, motor flex (gasolina/álcool), direção hidráulica e/ou elétrica, câmbio mecânico, cinto de segurança de 03 pontos para 04 pessoas, encosto de cabeça nos bancos dianteiros e traseiros, ar-condicionado, kit multimídia, cor branca, equipados com todos os itens de segurança exigidos pelo Conselho Nacional de Trânsito (CONTRAN) a serem disponibilizados nas Gerências em</t>
    </r>
    <r>
      <rPr>
        <b/>
        <sz val="10"/>
        <color rgb="FF000000"/>
        <rFont val="Calibri"/>
        <family val="2"/>
      </rPr>
      <t xml:space="preserve"> Uruguaiana/RS, Santa Maria/RS e Passo Fundo/RS.</t>
    </r>
  </si>
  <si>
    <r>
      <t xml:space="preserve">Automóvel de fabricação nacional, </t>
    </r>
    <r>
      <rPr>
        <b/>
        <sz val="10"/>
        <color rgb="FF000000"/>
        <rFont val="Calibri"/>
        <family val="2"/>
      </rPr>
      <t>COM MOTORISTA</t>
    </r>
    <r>
      <rPr>
        <sz val="10"/>
        <color rgb="FF000000"/>
        <rFont val="Calibri"/>
        <family val="2"/>
      </rPr>
      <t xml:space="preserve"> carrocerias</t>
    </r>
    <r>
      <rPr>
        <b/>
        <sz val="10"/>
        <color rgb="FF000000"/>
        <rFont val="Calibri"/>
        <family val="2"/>
      </rPr>
      <t xml:space="preserve"> tipo furgão </t>
    </r>
    <r>
      <rPr>
        <sz val="10"/>
        <color rgb="FF000000"/>
        <rFont val="Calibri"/>
        <family val="2"/>
      </rPr>
      <t xml:space="preserve">simples 3 portas, para carga, capacidade para 3 pessoas, motor flex (gasolina/álcool) ou diesel, direção hidráulica e/ou elétrica, câmbio mecânico, teto alto, capacidade volumétrica de pelo menos 7 m³, cinto de segurança de 03 pontos para 02 pessoas, encosto de cabeça nos bancos, ar-condicionado, kit multimídia, cor branca, equipados com todos os itens de segurança exigidos pelo Conselho Nacional de Trânsito (CONTRAN)  a ser disponibilizado nas Gerências em </t>
    </r>
    <r>
      <rPr>
        <b/>
        <sz val="10"/>
        <color rgb="FF000000"/>
        <rFont val="Calibri"/>
        <family val="2"/>
      </rPr>
      <t>Cascavel/PR, Londrina/PR e Maringá/PR, por DIÁRIA, CONFORME DEMANDA.</t>
    </r>
  </si>
  <si>
    <r>
      <t xml:space="preserve">Automóvel de fabricação nacional, </t>
    </r>
    <r>
      <rPr>
        <b/>
        <sz val="10"/>
        <color rgb="FF000000"/>
        <rFont val="Calibri"/>
        <family val="2"/>
      </rPr>
      <t>COM MOTORISTA</t>
    </r>
    <r>
      <rPr>
        <sz val="10"/>
        <color rgb="FF000000"/>
        <rFont val="Calibri"/>
        <family val="2"/>
      </rPr>
      <t xml:space="preserve"> carrocerias</t>
    </r>
    <r>
      <rPr>
        <b/>
        <sz val="10"/>
        <color rgb="FF000000"/>
        <rFont val="Calibri"/>
        <family val="2"/>
      </rPr>
      <t xml:space="preserve"> tipo furgão </t>
    </r>
    <r>
      <rPr>
        <sz val="10"/>
        <color rgb="FF000000"/>
        <rFont val="Calibri"/>
        <family val="2"/>
      </rPr>
      <t xml:space="preserve">simples 3 portas, para carga, capacidade para 3 pessoas, motor flex (gasolina/álcool) ou diesel, direção hidráulica e/ou elétrica, câmbio mecânico, teto alto, capacidade volumétrica de pelo menos 7 m³, cinto de segurança de 03 pontos para 02 pessoas, encosto de cabeça nos bancos, ar-condicionado, kit multimídia, cor branca, equipados com todos os itens de segurança exigidos pelo Conselho Nacional de Trânsito (CONTRAN)  a ser disponibilizado nas Gerências em </t>
    </r>
    <r>
      <rPr>
        <b/>
        <sz val="10"/>
        <color rgb="FF000000"/>
        <rFont val="Calibri"/>
        <family val="2"/>
      </rPr>
      <t>Curitiba/PR e Ponta Grossa/PR, por DIÁRIA, CONFORME DEMANDA.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</si>
  <si>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COM MOTORISTA</t>
    </r>
    <r>
      <rPr>
        <sz val="10"/>
        <color rgb="FF000000"/>
        <rFont val="Calibri"/>
        <family val="2"/>
      </rPr>
      <t xml:space="preserve"> carrocerias tipo</t>
    </r>
    <r>
      <rPr>
        <b/>
        <sz val="10"/>
        <color rgb="FF000000"/>
        <rFont val="Calibri"/>
        <family val="2"/>
      </rPr>
      <t xml:space="preserve"> furgão</t>
    </r>
    <r>
      <rPr>
        <sz val="10"/>
        <color rgb="FF000000"/>
        <rFont val="Calibri"/>
        <family val="2"/>
      </rPr>
      <t xml:space="preserve"> simples 3 portas, para carga, capacidade para 3 pessoas,  motor flex (gasolina/álcool) ou diesel, direção hidráulica e/ou elétrica, câmbio mecânico, teto alto, capacidade volumétrica de pelo menos 7 m³, cinto de segurança de 03 pontos para 02 pessoas, encosto de cabeça nos bancos, ar-condicionado, cor branca, equipados com todos os itens de segurança exigidos pelo Conselho Nacional de Trânsito (CONTRAN) a ser disponibilizado na Gerência em</t>
    </r>
    <r>
      <rPr>
        <b/>
        <sz val="10"/>
        <color rgb="FF000000"/>
        <rFont val="Calibri"/>
        <family val="2"/>
      </rPr>
      <t xml:space="preserve"> Porto Alegre/RS, Caxias do Sul/RS e Pelotas/RS, por DIÁRIA, CONFORME DEMANDA.</t>
    </r>
  </si>
  <si>
    <r>
      <t>Automóvel de fabricação nacional,</t>
    </r>
    <r>
      <rPr>
        <b/>
        <sz val="10"/>
        <color rgb="FF000000"/>
        <rFont val="Calibri"/>
        <family val="2"/>
      </rPr>
      <t xml:space="preserve"> COM MOTORISTA</t>
    </r>
    <r>
      <rPr>
        <sz val="10"/>
        <color rgb="FF000000"/>
        <rFont val="Calibri"/>
        <family val="2"/>
      </rPr>
      <t xml:space="preserve"> carrocerias tipo furgão simples 3 portas, para carga, capacidade para 3 pessoas, motor flex (gasolina/álcool) ou diesel, direção hidráulica e/ou elétrica, câmbio mecânico, teto alto, capacidade volumétrica de pelo menos 7 m³, cinto de segurança de 03 pontos para 02 pessoas, encosto de cabeça nos bancos, ar-condicionado, cor branca, equipados com todos os itens de segurança exigidos pelo Conselho Nacional de Trânsito (CONTRAN) a ser disponibilizado na Gerência em Ijuí</t>
    </r>
    <r>
      <rPr>
        <b/>
        <sz val="10"/>
        <color rgb="FF000000"/>
        <rFont val="Calibri"/>
        <family val="2"/>
      </rPr>
      <t>/RS, Uruguaiana/RS, Santa Maria/RS e Passo Fundo/RS, por DIÁRIA, CONFORME DEMANDA.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</si>
</sst>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164" formatCode="[$R$-416]&quot; &quot;#,##0.00;[Red]&quot;-&quot;[$R$-416]&quot; &quot;#,##0.00"/>
    <numFmt numFmtId="165" formatCode="[$R$-416]&quot; &quot;#,##0.0000;[Red]&quot;-&quot;[$R$-416]&quot; &quot;#,##0.0000"/>
    <numFmt numFmtId="166" formatCode="&quot;R$ &quot;#,##0.00"/>
    <numFmt numFmtId="167" formatCode="#,##0.00&quot; &quot;;&quot;(&quot;#,##0.00&quot;)&quot;;&quot;-&quot;#&quot; &quot;;@&quot; &quot;"/>
    <numFmt numFmtId="168" formatCode="&quot;R$ &quot;#,##0.00&quot; &quot;;[Red]&quot;(R$ &quot;#,##0.00&quot;)&quot;"/>
    <numFmt numFmtId="169" formatCode="[$-416]#,##0.00&quot; &quot;;[$-416]&quot;(&quot;#,##0.00&quot;)&quot;"/>
    <numFmt numFmtId="170" formatCode="[$-416]d/m/yyyy"/>
    <numFmt numFmtId="171" formatCode="#,##0.00&quot; &quot;;#,##0.00&quot; &quot;;&quot;-&quot;#&quot; &quot;;@&quot; &quot;"/>
    <numFmt numFmtId="172" formatCode="#,##0.00&quot; &quot;;#,##0.00&quot; &quot;;&quot;-&quot;#&quot; &quot;;&quot; &quot;@&quot; &quot;"/>
    <numFmt numFmtId="173" formatCode="#,##0.00&quot; &quot;;&quot; (&quot;#,##0.00&quot;)&quot;;&quot;-&quot;#&quot; &quot;;@&quot; &quot;"/>
    <numFmt numFmtId="174" formatCode="0.0"/>
    <numFmt numFmtId="175" formatCode="* #,##0.00\ ;* \(#,##0.00\);* \-#\ ;@\ "/>
    <numFmt numFmtId="176" formatCode="[$R$-416]\ #,##0.00;[Red][$R$-416]\ #,##0.00"/>
    <numFmt numFmtId="177" formatCode="&quot;R$&quot;\ #,##0.00"/>
    <numFmt numFmtId="178" formatCode="[$R$-416]\ #,##0.0000;[Red][$R$-416]\ #,##0.0000"/>
  </numFmts>
  <fonts count="70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sz val="14"/>
      <color rgb="FFFFFFFF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2"/>
      <color rgb="FF181818"/>
      <name val="Calibri"/>
      <family val="2"/>
    </font>
    <font>
      <sz val="12"/>
      <color rgb="FF181818"/>
      <name val="Calibri"/>
      <family val="2"/>
    </font>
    <font>
      <b/>
      <sz val="10"/>
      <color rgb="FF181818"/>
      <name val="Calibri"/>
      <family val="2"/>
    </font>
    <font>
      <b/>
      <sz val="10"/>
      <color rgb="FF000000"/>
      <name val="Calibri"/>
      <family val="2"/>
    </font>
    <font>
      <sz val="10"/>
      <color rgb="FF181818"/>
      <name val="Calibri"/>
      <family val="2"/>
    </font>
    <font>
      <sz val="10"/>
      <color rgb="FF000000"/>
      <name val="Calibri"/>
      <family val="2"/>
    </font>
    <font>
      <b/>
      <sz val="11"/>
      <color rgb="FF181818"/>
      <name val="Arial"/>
      <family val="2"/>
    </font>
    <font>
      <b/>
      <sz val="11"/>
      <color rgb="FFFFFFFF"/>
      <name val="Calibri"/>
      <family val="2"/>
    </font>
    <font>
      <sz val="11"/>
      <color rgb="FF181818"/>
      <name val="Calibri"/>
      <family val="2"/>
    </font>
    <font>
      <b/>
      <sz val="11"/>
      <color rgb="FF181818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3333FF"/>
      <name val="Calibri"/>
      <family val="2"/>
    </font>
    <font>
      <sz val="11"/>
      <color rgb="FF181818"/>
      <name val="Arial"/>
      <family val="2"/>
    </font>
    <font>
      <sz val="7.5"/>
      <color rgb="FF000000"/>
      <name val="Calibri"/>
      <family val="2"/>
    </font>
    <font>
      <b/>
      <sz val="10"/>
      <color rgb="FFFFFFFF"/>
      <name val="Calibri"/>
      <family val="2"/>
    </font>
    <font>
      <sz val="11"/>
      <color rgb="FFFFFFFF"/>
      <name val="Calibri"/>
      <family val="2"/>
    </font>
    <font>
      <sz val="8"/>
      <color rgb="FF000000"/>
      <name val="Calibri"/>
      <family val="2"/>
    </font>
    <font>
      <sz val="10"/>
      <color rgb="FFC00000"/>
      <name val="Calibri"/>
      <family val="2"/>
    </font>
    <font>
      <sz val="10"/>
      <color rgb="FFFFFFFF"/>
      <name val="Calibri"/>
      <family val="2"/>
    </font>
    <font>
      <sz val="9"/>
      <color rgb="FF000000"/>
      <name val="Calibri"/>
      <family val="2"/>
    </font>
    <font>
      <sz val="9"/>
      <color rgb="FFFFFFFF"/>
      <name val="Calibri"/>
      <family val="2"/>
    </font>
    <font>
      <sz val="9"/>
      <color theme="1"/>
      <name val="Calibri"/>
      <family val="2"/>
    </font>
    <font>
      <b/>
      <sz val="12"/>
      <color rgb="FFFFFFFF"/>
      <name val="Calibri"/>
      <family val="2"/>
    </font>
    <font>
      <sz val="11"/>
      <color rgb="FF0000FF"/>
      <name val="Calibri"/>
      <family val="2"/>
    </font>
    <font>
      <sz val="10"/>
      <color rgb="FF0000FF"/>
      <name val="Calibri"/>
      <family val="2"/>
    </font>
    <font>
      <b/>
      <sz val="8"/>
      <color theme="1"/>
      <name val="Calibri"/>
      <family val="2"/>
    </font>
    <font>
      <b/>
      <sz val="12"/>
      <color theme="1"/>
      <name val="Calibri"/>
      <family val="2"/>
    </font>
    <font>
      <sz val="11"/>
      <color rgb="FF000080"/>
      <name val="Calibri"/>
      <family val="2"/>
    </font>
    <font>
      <sz val="11"/>
      <color rgb="FF34689C"/>
      <name val="Calibri"/>
      <family val="2"/>
    </font>
    <font>
      <b/>
      <sz val="10"/>
      <color rgb="FFFF0000"/>
      <name val="Times New Roman"/>
      <family val="1"/>
    </font>
    <font>
      <sz val="8"/>
      <color theme="1"/>
      <name val="Calibri"/>
      <family val="2"/>
    </font>
    <font>
      <sz val="10"/>
      <color rgb="FF000080"/>
      <name val="Calibri"/>
      <family val="2"/>
    </font>
    <font>
      <b/>
      <sz val="11"/>
      <color rgb="FF000080"/>
      <name val="Calibri"/>
      <family val="2"/>
    </font>
    <font>
      <sz val="11"/>
      <color rgb="FF808080"/>
      <name val="Calibri"/>
      <family val="2"/>
    </font>
    <font>
      <b/>
      <sz val="11"/>
      <color rgb="FF808080"/>
      <name val="Calibri"/>
      <family val="2"/>
    </font>
    <font>
      <sz val="10"/>
      <color rgb="FF3333FF"/>
      <name val="Arial"/>
      <family val="2"/>
    </font>
    <font>
      <b/>
      <sz val="11"/>
      <color rgb="FF3333FF"/>
      <name val="Calibri"/>
      <family val="2"/>
    </font>
    <font>
      <sz val="10"/>
      <color rgb="FF3333FF"/>
      <name val="Calibri"/>
      <family val="2"/>
    </font>
    <font>
      <sz val="10"/>
      <color rgb="FFFF0000"/>
      <name val="Calibri"/>
      <family val="2"/>
    </font>
    <font>
      <sz val="10"/>
      <color rgb="FFCC0000"/>
      <name val="Calibri"/>
      <family val="2"/>
    </font>
    <font>
      <b/>
      <sz val="9"/>
      <color rgb="FF000000"/>
      <name val="Calibri"/>
      <family val="2"/>
    </font>
    <font>
      <sz val="10"/>
      <color rgb="FFC00000"/>
      <name val="Arial"/>
      <family val="2"/>
    </font>
    <font>
      <b/>
      <sz val="14"/>
      <color rgb="FF000000"/>
      <name val="Calibri"/>
      <family val="2"/>
    </font>
    <font>
      <b/>
      <sz val="8"/>
      <color rgb="FFFFFFFF"/>
      <name val="Calibri"/>
      <family val="2"/>
    </font>
    <font>
      <sz val="10"/>
      <name val="Arial"/>
      <family val="2"/>
    </font>
    <font>
      <sz val="11"/>
      <color indexed="39"/>
      <name val="Calibri"/>
      <family val="2"/>
    </font>
    <font>
      <sz val="10"/>
      <color indexed="39"/>
      <name val="Calibri"/>
      <family val="2"/>
    </font>
    <font>
      <b/>
      <sz val="11"/>
      <color rgb="FF000000"/>
      <name val="Calibri"/>
      <family val="2"/>
    </font>
    <font>
      <b/>
      <sz val="9"/>
      <color rgb="FFFFFFFF"/>
      <name val="Arial"/>
      <family val="2"/>
    </font>
    <font>
      <sz val="9"/>
      <color theme="1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DAE3F3"/>
        <bgColor rgb="FFDAE3F3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3465A4"/>
        <bgColor rgb="FF3465A4"/>
      </patternFill>
    </fill>
    <fill>
      <patternFill patternType="solid">
        <fgColor rgb="FFFFFFFF"/>
        <bgColor rgb="FFFFFFFF"/>
      </patternFill>
    </fill>
    <fill>
      <patternFill patternType="solid">
        <fgColor rgb="FF1F4E78"/>
        <bgColor rgb="FF1F4E78"/>
      </patternFill>
    </fill>
    <fill>
      <patternFill patternType="solid">
        <fgColor rgb="FFCC9999"/>
        <bgColor rgb="FFCC9999"/>
      </patternFill>
    </fill>
    <fill>
      <patternFill patternType="solid">
        <fgColor rgb="FF9999CC"/>
        <bgColor rgb="FF9999CC"/>
      </patternFill>
    </fill>
    <fill>
      <patternFill patternType="solid">
        <fgColor rgb="FFCCCCFF"/>
        <bgColor rgb="FFCCCCFF"/>
      </patternFill>
    </fill>
    <fill>
      <patternFill patternType="solid">
        <fgColor rgb="FFFFFF99"/>
        <bgColor rgb="FFFFFF99"/>
      </patternFill>
    </fill>
    <fill>
      <patternFill patternType="solid">
        <fgColor rgb="FFCCCCCC"/>
        <bgColor rgb="FFCCCCCC"/>
      </patternFill>
    </fill>
    <fill>
      <patternFill patternType="solid">
        <fgColor rgb="FFCBFFD0"/>
        <bgColor rgb="FFCBFFD0"/>
      </patternFill>
    </fill>
    <fill>
      <patternFill patternType="solid">
        <fgColor rgb="FFCAFFA2"/>
        <bgColor rgb="FFCAFFA2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FFCCFF"/>
        <bgColor rgb="FFFFCCFF"/>
      </patternFill>
    </fill>
    <fill>
      <patternFill patternType="solid">
        <fgColor rgb="FFCCECFF"/>
        <bgColor rgb="FFCCECFF"/>
      </patternFill>
    </fill>
    <fill>
      <patternFill patternType="solid">
        <fgColor rgb="FF999966"/>
        <bgColor rgb="FF999966"/>
      </patternFill>
    </fill>
    <fill>
      <patternFill patternType="solid">
        <fgColor rgb="FF669933"/>
        <bgColor rgb="FF669933"/>
      </patternFill>
    </fill>
    <fill>
      <patternFill patternType="solid">
        <fgColor rgb="FF6C9ED8"/>
        <bgColor rgb="FF6C9ED8"/>
      </patternFill>
    </fill>
    <fill>
      <patternFill patternType="solid">
        <fgColor rgb="FFCC9966"/>
        <bgColor rgb="FFCC9966"/>
      </patternFill>
    </fill>
    <fill>
      <patternFill patternType="solid">
        <fgColor rgb="FFFFFF66"/>
        <bgColor rgb="FFFFFF66"/>
      </patternFill>
    </fill>
    <fill>
      <patternFill patternType="solid">
        <fgColor rgb="FFCC99CC"/>
        <bgColor rgb="FFCC99CC"/>
      </patternFill>
    </fill>
    <fill>
      <patternFill patternType="solid">
        <fgColor rgb="FFCCCC99"/>
        <bgColor rgb="FFCCCC99"/>
      </patternFill>
    </fill>
    <fill>
      <patternFill patternType="solid">
        <fgColor rgb="FFB2B2B2"/>
        <bgColor rgb="FFB2B2B2"/>
      </patternFill>
    </fill>
    <fill>
      <patternFill patternType="solid">
        <fgColor rgb="FFF7ADAD"/>
        <bgColor rgb="FFF7ADAD"/>
      </patternFill>
    </fill>
    <fill>
      <patternFill patternType="solid">
        <fgColor rgb="FFF7CDCD"/>
        <bgColor rgb="FFF7CDCD"/>
      </patternFill>
    </fill>
    <fill>
      <patternFill patternType="solid">
        <fgColor rgb="FFFFE699"/>
        <bgColor rgb="FFFFE699"/>
      </patternFill>
    </fill>
    <fill>
      <patternFill patternType="solid">
        <fgColor rgb="FFFFF2CC"/>
        <bgColor rgb="FFFFF2CC"/>
      </patternFill>
    </fill>
    <fill>
      <patternFill patternType="solid">
        <fgColor rgb="FFD9E1F2"/>
        <bgColor rgb="FFD9E1F2"/>
      </patternFill>
    </fill>
    <fill>
      <patternFill patternType="solid">
        <fgColor rgb="FFFCE4D6"/>
        <bgColor rgb="FFFCE4D6"/>
      </patternFill>
    </fill>
    <fill>
      <patternFill patternType="solid">
        <fgColor rgb="FFE2EFDA"/>
        <bgColor rgb="FFE2EFDA"/>
      </patternFill>
    </fill>
    <fill>
      <patternFill patternType="solid">
        <fgColor rgb="FFB4C6E7"/>
        <bgColor rgb="FFB4C6E7"/>
      </patternFill>
    </fill>
    <fill>
      <patternFill patternType="solid">
        <fgColor rgb="FFF4B084"/>
        <bgColor rgb="FFF4B084"/>
      </patternFill>
    </fill>
    <fill>
      <patternFill patternType="solid">
        <fgColor rgb="FFA9D08E"/>
        <bgColor rgb="FFA9D08E"/>
      </patternFill>
    </fill>
    <fill>
      <patternFill patternType="solid">
        <fgColor rgb="FFFFCC00"/>
        <bgColor rgb="FFFFCC00"/>
      </patternFill>
    </fill>
    <fill>
      <patternFill patternType="solid">
        <fgColor rgb="FF729FCF"/>
        <bgColor rgb="FF729FCF"/>
      </patternFill>
    </fill>
    <fill>
      <patternFill patternType="solid">
        <fgColor rgb="FF66CC00"/>
        <bgColor rgb="FF66CC00"/>
      </patternFill>
    </fill>
    <fill>
      <patternFill patternType="solid">
        <fgColor rgb="FF99CCFF"/>
        <bgColor rgb="FF99CCFF"/>
      </patternFill>
    </fill>
    <fill>
      <patternFill patternType="solid">
        <fgColor rgb="FFCFE7F5"/>
        <bgColor rgb="FFCFE7F5"/>
      </patternFill>
    </fill>
    <fill>
      <patternFill patternType="solid">
        <fgColor rgb="FF34689C"/>
        <bgColor rgb="FF34689C"/>
      </patternFill>
    </fill>
    <fill>
      <patternFill patternType="solid">
        <fgColor rgb="FF336699"/>
        <bgColor rgb="FF336699"/>
      </patternFill>
    </fill>
    <fill>
      <patternFill patternType="solid">
        <fgColor rgb="FF666666"/>
        <bgColor rgb="FF666666"/>
      </patternFill>
    </fill>
    <fill>
      <patternFill patternType="solid">
        <fgColor rgb="FF999999"/>
        <bgColor rgb="FF999999"/>
      </patternFill>
    </fill>
    <fill>
      <patternFill patternType="solid">
        <fgColor rgb="FFE8F2A1"/>
        <bgColor rgb="FFE8F2A1"/>
      </patternFill>
    </fill>
    <fill>
      <patternFill patternType="solid">
        <fgColor indexed="43"/>
        <bgColor indexed="13"/>
      </patternFill>
    </fill>
    <fill>
      <patternFill patternType="solid">
        <fgColor indexed="51"/>
        <bgColor indexed="52"/>
      </patternFill>
    </fill>
    <fill>
      <patternFill patternType="solid">
        <fgColor indexed="44"/>
        <bgColor indexed="40"/>
      </patternFill>
    </fill>
    <fill>
      <patternFill patternType="solid">
        <fgColor indexed="22"/>
        <bgColor indexed="15"/>
      </patternFill>
    </fill>
    <fill>
      <patternFill patternType="solid">
        <fgColor theme="5"/>
        <bgColor rgb="FFF7ADAD"/>
      </patternFill>
    </fill>
    <fill>
      <patternFill patternType="solid">
        <fgColor theme="5" tint="0.39997558519241921"/>
        <bgColor rgb="FFF7CDCD"/>
      </patternFill>
    </fill>
    <fill>
      <patternFill patternType="solid">
        <fgColor theme="5" tint="0.39997558519241921"/>
        <bgColor rgb="FFFFCCCC"/>
      </patternFill>
    </fill>
    <fill>
      <patternFill patternType="solid">
        <fgColor theme="7" tint="-0.249977111117893"/>
        <bgColor rgb="FFFFE699"/>
      </patternFill>
    </fill>
    <fill>
      <patternFill patternType="solid">
        <fgColor theme="7" tint="0.39997558519241921"/>
        <bgColor rgb="FFFFF2CC"/>
      </patternFill>
    </fill>
    <fill>
      <patternFill patternType="solid">
        <fgColor theme="7" tint="0.39997558519241921"/>
        <bgColor rgb="FFFFFFCC"/>
      </patternFill>
    </fill>
    <fill>
      <patternFill patternType="solid">
        <fgColor theme="5"/>
        <bgColor rgb="FFCC9999"/>
      </patternFill>
    </fill>
  </fills>
  <borders count="4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B4C6E7"/>
      </top>
      <bottom style="thin">
        <color rgb="FF9DC3E6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9DC3E6"/>
      </left>
      <right/>
      <top style="thin">
        <color rgb="FFB4C6E7"/>
      </top>
      <bottom style="thin">
        <color rgb="FF9DC3E6"/>
      </bottom>
      <diagonal/>
    </border>
    <border>
      <left/>
      <right/>
      <top style="thin">
        <color rgb="FF9DC3E6"/>
      </top>
      <bottom style="thin">
        <color rgb="FFB4C6E7"/>
      </bottom>
      <diagonal/>
    </border>
    <border>
      <left/>
      <right/>
      <top style="thin">
        <color rgb="FFB4C6E7"/>
      </top>
      <bottom style="thin">
        <color rgb="FFB4C6E7"/>
      </bottom>
      <diagonal/>
    </border>
    <border>
      <left/>
      <right/>
      <top/>
      <bottom style="thin">
        <color rgb="FFB4C6E7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7" fontId="6" fillId="0" borderId="0"/>
    <xf numFmtId="172" fontId="1" fillId="0" borderId="0"/>
    <xf numFmtId="0" fontId="7" fillId="7" borderId="0"/>
    <xf numFmtId="0" fontId="7" fillId="7" borderId="0"/>
    <xf numFmtId="9" fontId="6" fillId="0" borderId="0"/>
    <xf numFmtId="0" fontId="8" fillId="0" borderId="0"/>
    <xf numFmtId="0" fontId="9" fillId="8" borderId="0"/>
    <xf numFmtId="0" fontId="10" fillId="0" borderId="0"/>
    <xf numFmtId="0" fontId="11" fillId="0" borderId="0"/>
    <xf numFmtId="0" fontId="12" fillId="0" borderId="0"/>
    <xf numFmtId="0" fontId="13" fillId="0" borderId="0"/>
    <xf numFmtId="172" fontId="1" fillId="0" borderId="0"/>
    <xf numFmtId="0" fontId="14" fillId="9" borderId="0"/>
    <xf numFmtId="0" fontId="6" fillId="0" borderId="0"/>
    <xf numFmtId="0" fontId="6" fillId="0" borderId="0"/>
    <xf numFmtId="0" fontId="15" fillId="9" borderId="1"/>
    <xf numFmtId="0" fontId="1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64" fillId="0" borderId="0"/>
    <xf numFmtId="175" fontId="64" fillId="0" borderId="0" applyFill="0" applyBorder="0" applyAlignment="0" applyProtection="0"/>
    <xf numFmtId="9" fontId="64" fillId="0" borderId="0" applyFill="0" applyBorder="0" applyAlignment="0" applyProtection="0"/>
  </cellStyleXfs>
  <cellXfs count="735">
    <xf numFmtId="0" fontId="0" fillId="0" borderId="0" xfId="0"/>
    <xf numFmtId="0" fontId="17" fillId="0" borderId="0" xfId="0" applyFont="1"/>
    <xf numFmtId="0" fontId="6" fillId="0" borderId="0" xfId="0" applyFont="1"/>
    <xf numFmtId="0" fontId="21" fillId="5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3" fontId="23" fillId="0" borderId="2" xfId="0" applyNumberFormat="1" applyFont="1" applyBorder="1" applyAlignment="1">
      <alignment horizontal="center" vertical="center"/>
    </xf>
    <xf numFmtId="164" fontId="23" fillId="0" borderId="2" xfId="0" applyNumberFormat="1" applyFont="1" applyBorder="1" applyAlignment="1">
      <alignment horizontal="center" vertical="center"/>
    </xf>
    <xf numFmtId="164" fontId="17" fillId="0" borderId="0" xfId="0" applyNumberFormat="1" applyFont="1"/>
    <xf numFmtId="164" fontId="6" fillId="0" borderId="0" xfId="0" applyNumberFormat="1" applyFont="1"/>
    <xf numFmtId="164" fontId="21" fillId="5" borderId="2" xfId="0" applyNumberFormat="1" applyFont="1" applyFill="1" applyBorder="1" applyAlignment="1">
      <alignment horizontal="center" vertical="center"/>
    </xf>
    <xf numFmtId="0" fontId="24" fillId="0" borderId="2" xfId="0" applyFont="1" applyBorder="1" applyAlignment="1">
      <alignment horizontal="justify" vertical="center" wrapText="1"/>
    </xf>
    <xf numFmtId="165" fontId="23" fillId="0" borderId="2" xfId="0" applyNumberFormat="1" applyFont="1" applyBorder="1" applyAlignment="1">
      <alignment horizontal="center" vertical="center"/>
    </xf>
    <xf numFmtId="0" fontId="22" fillId="5" borderId="0" xfId="0" applyFont="1" applyFill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center" vertical="center"/>
    </xf>
    <xf numFmtId="165" fontId="23" fillId="0" borderId="0" xfId="0" applyNumberFormat="1" applyFont="1" applyBorder="1" applyAlignment="1">
      <alignment horizontal="center" vertical="center"/>
    </xf>
    <xf numFmtId="164" fontId="17" fillId="13" borderId="2" xfId="0" applyNumberFormat="1" applyFont="1" applyFill="1" applyBorder="1" applyAlignment="1">
      <alignment horizontal="center" vertical="center"/>
    </xf>
    <xf numFmtId="164" fontId="17" fillId="0" borderId="0" xfId="8" applyNumberFormat="1" applyFont="1" applyFill="1" applyBorder="1" applyAlignment="1" applyProtection="1"/>
    <xf numFmtId="164" fontId="21" fillId="13" borderId="2" xfId="0" applyNumberFormat="1" applyFont="1" applyFill="1" applyBorder="1" applyAlignment="1">
      <alignment horizontal="center" vertical="center"/>
    </xf>
    <xf numFmtId="165" fontId="17" fillId="0" borderId="0" xfId="0" applyNumberFormat="1" applyFont="1"/>
    <xf numFmtId="0" fontId="21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center" vertical="center"/>
    </xf>
    <xf numFmtId="0" fontId="21" fillId="9" borderId="2" xfId="0" applyFont="1" applyFill="1" applyBorder="1" applyAlignment="1">
      <alignment horizontal="center" vertical="center" wrapText="1"/>
    </xf>
    <xf numFmtId="164" fontId="24" fillId="0" borderId="0" xfId="0" applyNumberFormat="1" applyFont="1"/>
    <xf numFmtId="164" fontId="21" fillId="9" borderId="2" xfId="0" applyNumberFormat="1" applyFont="1" applyFill="1" applyBorder="1" applyAlignment="1">
      <alignment horizontal="center" vertical="center"/>
    </xf>
    <xf numFmtId="164" fontId="21" fillId="16" borderId="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164" fontId="25" fillId="0" borderId="0" xfId="0" applyNumberFormat="1" applyFont="1" applyAlignment="1">
      <alignment horizontal="center" vertical="center"/>
    </xf>
    <xf numFmtId="3" fontId="26" fillId="12" borderId="3" xfId="0" applyNumberFormat="1" applyFont="1" applyFill="1" applyBorder="1" applyAlignment="1">
      <alignment horizontal="center" vertical="center"/>
    </xf>
    <xf numFmtId="164" fontId="26" fillId="12" borderId="3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164" fontId="27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8" fillId="17" borderId="2" xfId="0" applyFont="1" applyFill="1" applyBorder="1" applyAlignment="1">
      <alignment horizontal="center" vertical="center" wrapText="1"/>
    </xf>
    <xf numFmtId="0" fontId="28" fillId="11" borderId="0" xfId="0" applyFont="1" applyFill="1" applyAlignment="1">
      <alignment horizontal="center" vertical="center" wrapText="1"/>
    </xf>
    <xf numFmtId="0" fontId="28" fillId="11" borderId="0" xfId="0" applyFont="1" applyFill="1" applyAlignment="1">
      <alignment horizontal="justify" vertical="center" wrapText="1"/>
    </xf>
    <xf numFmtId="0" fontId="30" fillId="11" borderId="0" xfId="0" applyFont="1" applyFill="1" applyAlignment="1">
      <alignment horizontal="justify" vertical="center" wrapText="1"/>
    </xf>
    <xf numFmtId="164" fontId="28" fillId="11" borderId="0" xfId="0" applyNumberFormat="1" applyFont="1" applyFill="1" applyAlignment="1">
      <alignment horizontal="justify" vertical="center" wrapText="1"/>
    </xf>
    <xf numFmtId="0" fontId="29" fillId="11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164" fontId="25" fillId="0" borderId="0" xfId="0" applyNumberFormat="1" applyFont="1" applyAlignment="1">
      <alignment horizontal="justify" vertical="center" wrapText="1"/>
    </xf>
    <xf numFmtId="0" fontId="23" fillId="0" borderId="0" xfId="0" applyFont="1" applyAlignment="1">
      <alignment horizontal="justify" vertical="center" wrapText="1"/>
    </xf>
    <xf numFmtId="0" fontId="28" fillId="17" borderId="2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2" fillId="0" borderId="0" xfId="0" applyFont="1"/>
    <xf numFmtId="0" fontId="24" fillId="0" borderId="0" xfId="0" applyFont="1"/>
    <xf numFmtId="0" fontId="24" fillId="11" borderId="0" xfId="0" applyFont="1" applyFill="1" applyAlignment="1">
      <alignment horizontal="center" wrapText="1"/>
    </xf>
    <xf numFmtId="0" fontId="24" fillId="11" borderId="0" xfId="0" applyFont="1" applyFill="1"/>
    <xf numFmtId="0" fontId="33" fillId="0" borderId="0" xfId="0" applyFont="1" applyAlignment="1">
      <alignment horizontal="center" vertical="center" wrapText="1"/>
    </xf>
    <xf numFmtId="0" fontId="33" fillId="11" borderId="0" xfId="0" applyFont="1" applyFill="1" applyAlignment="1">
      <alignment horizontal="center" vertical="center" wrapText="1"/>
    </xf>
    <xf numFmtId="0" fontId="34" fillId="12" borderId="0" xfId="0" applyFont="1" applyFill="1" applyAlignment="1">
      <alignment horizontal="center" vertical="center" wrapText="1"/>
    </xf>
    <xf numFmtId="0" fontId="22" fillId="24" borderId="0" xfId="0" applyFont="1" applyFill="1" applyAlignment="1">
      <alignment horizontal="center" vertical="center"/>
    </xf>
    <xf numFmtId="2" fontId="18" fillId="25" borderId="0" xfId="0" applyNumberFormat="1" applyFont="1" applyFill="1" applyAlignment="1">
      <alignment horizontal="center" vertical="center" wrapText="1"/>
    </xf>
    <xf numFmtId="0" fontId="18" fillId="25" borderId="0" xfId="0" applyFont="1" applyFill="1" applyAlignment="1">
      <alignment horizontal="center" vertical="center" wrapText="1"/>
    </xf>
    <xf numFmtId="2" fontId="18" fillId="26" borderId="0" xfId="0" applyNumberFormat="1" applyFont="1" applyFill="1" applyAlignment="1">
      <alignment horizontal="center" vertical="center" wrapText="1"/>
    </xf>
    <xf numFmtId="0" fontId="18" fillId="26" borderId="0" xfId="0" applyFont="1" applyFill="1" applyAlignment="1">
      <alignment horizontal="center" vertical="center" wrapText="1"/>
    </xf>
    <xf numFmtId="2" fontId="18" fillId="27" borderId="0" xfId="0" applyNumberFormat="1" applyFont="1" applyFill="1" applyAlignment="1">
      <alignment horizontal="center" vertical="center" wrapText="1"/>
    </xf>
    <xf numFmtId="0" fontId="18" fillId="27" borderId="0" xfId="0" applyFont="1" applyFill="1" applyAlignment="1">
      <alignment horizontal="center" vertical="center" wrapText="1"/>
    </xf>
    <xf numFmtId="0" fontId="18" fillId="28" borderId="0" xfId="0" applyFont="1" applyFill="1" applyAlignment="1">
      <alignment horizontal="center" vertical="center" wrapText="1"/>
    </xf>
    <xf numFmtId="0" fontId="18" fillId="29" borderId="0" xfId="0" applyFont="1" applyFill="1" applyAlignment="1">
      <alignment horizontal="center" vertical="center" wrapText="1"/>
    </xf>
    <xf numFmtId="0" fontId="18" fillId="14" borderId="0" xfId="0" applyFont="1" applyFill="1" applyAlignment="1">
      <alignment horizontal="center" vertical="center" wrapText="1"/>
    </xf>
    <xf numFmtId="2" fontId="34" fillId="12" borderId="0" xfId="0" applyNumberFormat="1" applyFont="1" applyFill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5" borderId="0" xfId="0" applyFont="1" applyFill="1" applyAlignment="1">
      <alignment horizontal="center" wrapText="1"/>
    </xf>
    <xf numFmtId="0" fontId="24" fillId="5" borderId="0" xfId="0" applyFont="1" applyFill="1" applyAlignment="1">
      <alignment vertical="center"/>
    </xf>
    <xf numFmtId="10" fontId="7" fillId="30" borderId="0" xfId="0" applyNumberFormat="1" applyFont="1" applyFill="1" applyAlignment="1">
      <alignment vertical="center"/>
    </xf>
    <xf numFmtId="164" fontId="24" fillId="19" borderId="0" xfId="0" applyNumberFormat="1" applyFont="1" applyFill="1" applyAlignment="1">
      <alignment wrapText="1"/>
    </xf>
    <xf numFmtId="0" fontId="17" fillId="19" borderId="0" xfId="0" applyFont="1" applyFill="1" applyAlignment="1">
      <alignment horizontal="center" wrapText="1"/>
    </xf>
    <xf numFmtId="0" fontId="24" fillId="19" borderId="0" xfId="0" applyFont="1" applyFill="1" applyAlignment="1">
      <alignment horizontal="center" wrapText="1"/>
    </xf>
    <xf numFmtId="164" fontId="24" fillId="20" borderId="0" xfId="0" applyNumberFormat="1" applyFont="1" applyFill="1" applyAlignment="1">
      <alignment wrapText="1"/>
    </xf>
    <xf numFmtId="3" fontId="24" fillId="20" borderId="0" xfId="0" applyNumberFormat="1" applyFont="1" applyFill="1" applyAlignment="1">
      <alignment horizontal="center" wrapText="1"/>
    </xf>
    <xf numFmtId="165" fontId="24" fillId="20" borderId="0" xfId="0" applyNumberFormat="1" applyFont="1" applyFill="1" applyAlignment="1">
      <alignment wrapText="1"/>
    </xf>
    <xf numFmtId="164" fontId="24" fillId="21" borderId="0" xfId="0" applyNumberFormat="1" applyFont="1" applyFill="1" applyAlignment="1">
      <alignment wrapText="1"/>
    </xf>
    <xf numFmtId="3" fontId="24" fillId="21" borderId="0" xfId="0" applyNumberFormat="1" applyFont="1" applyFill="1" applyAlignment="1">
      <alignment horizontal="center" wrapText="1"/>
    </xf>
    <xf numFmtId="165" fontId="24" fillId="21" borderId="0" xfId="0" applyNumberFormat="1" applyFont="1" applyFill="1" applyAlignment="1">
      <alignment wrapText="1"/>
    </xf>
    <xf numFmtId="2" fontId="24" fillId="9" borderId="0" xfId="0" applyNumberFormat="1" applyFont="1" applyFill="1" applyAlignment="1">
      <alignment wrapText="1"/>
    </xf>
    <xf numFmtId="1" fontId="24" fillId="9" borderId="0" xfId="0" applyNumberFormat="1" applyFont="1" applyFill="1" applyAlignment="1">
      <alignment horizontal="center" wrapText="1"/>
    </xf>
    <xf numFmtId="2" fontId="24" fillId="22" borderId="0" xfId="0" applyNumberFormat="1" applyFont="1" applyFill="1" applyAlignment="1">
      <alignment wrapText="1"/>
    </xf>
    <xf numFmtId="1" fontId="24" fillId="22" borderId="0" xfId="0" applyNumberFormat="1" applyFont="1" applyFill="1" applyAlignment="1">
      <alignment horizontal="center" wrapText="1"/>
    </xf>
    <xf numFmtId="2" fontId="24" fillId="19" borderId="0" xfId="0" applyNumberFormat="1" applyFont="1" applyFill="1" applyAlignment="1">
      <alignment wrapText="1"/>
    </xf>
    <xf numFmtId="3" fontId="24" fillId="19" borderId="0" xfId="0" applyNumberFormat="1" applyFont="1" applyFill="1" applyAlignment="1">
      <alignment horizontal="center"/>
    </xf>
    <xf numFmtId="2" fontId="24" fillId="23" borderId="0" xfId="0" applyNumberFormat="1" applyFont="1" applyFill="1" applyAlignment="1">
      <alignment wrapText="1"/>
    </xf>
    <xf numFmtId="3" fontId="24" fillId="23" borderId="0" xfId="0" applyNumberFormat="1" applyFont="1" applyFill="1" applyAlignment="1">
      <alignment horizontal="center"/>
    </xf>
    <xf numFmtId="164" fontId="24" fillId="15" borderId="0" xfId="0" applyNumberFormat="1" applyFont="1" applyFill="1"/>
    <xf numFmtId="3" fontId="24" fillId="15" borderId="0" xfId="0" applyNumberFormat="1" applyFont="1" applyFill="1" applyAlignment="1">
      <alignment horizontal="center"/>
    </xf>
    <xf numFmtId="4" fontId="18" fillId="31" borderId="0" xfId="0" applyNumberFormat="1" applyFont="1" applyFill="1"/>
    <xf numFmtId="0" fontId="24" fillId="12" borderId="0" xfId="0" applyFont="1" applyFill="1" applyAlignment="1">
      <alignment horizontal="center" wrapText="1"/>
    </xf>
    <xf numFmtId="0" fontId="34" fillId="12" borderId="0" xfId="0" applyFont="1" applyFill="1" applyAlignment="1">
      <alignment wrapText="1"/>
    </xf>
    <xf numFmtId="0" fontId="35" fillId="12" borderId="0" xfId="0" applyFont="1" applyFill="1" applyAlignment="1">
      <alignment vertical="center"/>
    </xf>
    <xf numFmtId="164" fontId="34" fillId="12" borderId="0" xfId="0" applyNumberFormat="1" applyFont="1" applyFill="1" applyAlignment="1">
      <alignment wrapText="1"/>
    </xf>
    <xf numFmtId="0" fontId="34" fillId="12" borderId="0" xfId="0" applyFont="1" applyFill="1" applyAlignment="1">
      <alignment horizontal="center" wrapText="1"/>
    </xf>
    <xf numFmtId="3" fontId="34" fillId="12" borderId="0" xfId="0" applyNumberFormat="1" applyFont="1" applyFill="1" applyAlignment="1">
      <alignment horizontal="center" wrapText="1"/>
    </xf>
    <xf numFmtId="1" fontId="34" fillId="12" borderId="0" xfId="0" applyNumberFormat="1" applyFont="1" applyFill="1" applyAlignment="1">
      <alignment horizontal="center" wrapText="1"/>
    </xf>
    <xf numFmtId="164" fontId="36" fillId="0" borderId="0" xfId="0" applyNumberFormat="1" applyFont="1"/>
    <xf numFmtId="0" fontId="36" fillId="0" borderId="0" xfId="0" applyFont="1"/>
    <xf numFmtId="0" fontId="24" fillId="9" borderId="0" xfId="0" applyFont="1" applyFill="1" applyAlignment="1">
      <alignment horizontal="center" wrapText="1"/>
    </xf>
    <xf numFmtId="0" fontId="24" fillId="9" borderId="0" xfId="0" applyFont="1" applyFill="1" applyAlignment="1">
      <alignment wrapText="1"/>
    </xf>
    <xf numFmtId="0" fontId="37" fillId="11" borderId="0" xfId="0" applyFont="1" applyFill="1" applyAlignment="1">
      <alignment horizontal="center"/>
    </xf>
    <xf numFmtId="0" fontId="37" fillId="11" borderId="0" xfId="0" applyFont="1" applyFill="1"/>
    <xf numFmtId="164" fontId="37" fillId="11" borderId="0" xfId="0" applyNumberFormat="1" applyFont="1" applyFill="1"/>
    <xf numFmtId="0" fontId="17" fillId="11" borderId="0" xfId="0" applyFont="1" applyFill="1"/>
    <xf numFmtId="164" fontId="24" fillId="11" borderId="0" xfId="0" applyNumberFormat="1" applyFont="1" applyFill="1"/>
    <xf numFmtId="0" fontId="24" fillId="32" borderId="4" xfId="0" applyFont="1" applyFill="1" applyBorder="1" applyAlignment="1">
      <alignment horizontal="center" vertical="center"/>
    </xf>
    <xf numFmtId="0" fontId="24" fillId="32" borderId="4" xfId="0" applyFont="1" applyFill="1" applyBorder="1" applyAlignment="1">
      <alignment vertical="center"/>
    </xf>
    <xf numFmtId="164" fontId="22" fillId="32" borderId="4" xfId="0" applyNumberFormat="1" applyFont="1" applyFill="1" applyBorder="1" applyAlignment="1">
      <alignment vertical="center"/>
    </xf>
    <xf numFmtId="164" fontId="24" fillId="32" borderId="4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4" fillId="33" borderId="4" xfId="0" applyFont="1" applyFill="1" applyBorder="1" applyAlignment="1">
      <alignment horizontal="center" vertical="center"/>
    </xf>
    <xf numFmtId="0" fontId="0" fillId="33" borderId="4" xfId="0" applyFill="1" applyBorder="1" applyAlignment="1">
      <alignment vertical="center"/>
    </xf>
    <xf numFmtId="0" fontId="17" fillId="33" borderId="4" xfId="0" applyFont="1" applyFill="1" applyBorder="1" applyAlignment="1">
      <alignment vertical="center"/>
    </xf>
    <xf numFmtId="3" fontId="24" fillId="33" borderId="4" xfId="0" applyNumberFormat="1" applyFont="1" applyFill="1" applyBorder="1" applyAlignment="1">
      <alignment horizontal="center" vertical="center"/>
    </xf>
    <xf numFmtId="4" fontId="24" fillId="33" borderId="4" xfId="0" applyNumberFormat="1" applyFont="1" applyFill="1" applyBorder="1" applyAlignment="1">
      <alignment horizontal="center" vertical="center"/>
    </xf>
    <xf numFmtId="4" fontId="22" fillId="33" borderId="5" xfId="0" applyNumberFormat="1" applyFont="1" applyFill="1" applyBorder="1" applyAlignment="1">
      <alignment horizontal="center" vertical="center"/>
    </xf>
    <xf numFmtId="3" fontId="24" fillId="33" borderId="5" xfId="0" applyNumberFormat="1" applyFont="1" applyFill="1" applyBorder="1" applyAlignment="1">
      <alignment horizontal="center" vertical="center"/>
    </xf>
    <xf numFmtId="4" fontId="24" fillId="33" borderId="5" xfId="0" applyNumberFormat="1" applyFont="1" applyFill="1" applyBorder="1" applyAlignment="1">
      <alignment horizontal="center" vertical="center"/>
    </xf>
    <xf numFmtId="164" fontId="22" fillId="33" borderId="5" xfId="0" applyNumberFormat="1" applyFont="1" applyFill="1" applyBorder="1" applyAlignment="1">
      <alignment horizontal="right" vertical="center"/>
    </xf>
    <xf numFmtId="0" fontId="24" fillId="33" borderId="6" xfId="0" applyFont="1" applyFill="1" applyBorder="1" applyAlignment="1">
      <alignment horizontal="center" vertical="center"/>
    </xf>
    <xf numFmtId="0" fontId="0" fillId="33" borderId="6" xfId="0" applyFill="1" applyBorder="1" applyAlignment="1">
      <alignment vertical="center"/>
    </xf>
    <xf numFmtId="0" fontId="17" fillId="33" borderId="6" xfId="0" applyFont="1" applyFill="1" applyBorder="1" applyAlignment="1">
      <alignment vertical="center"/>
    </xf>
    <xf numFmtId="3" fontId="24" fillId="33" borderId="6" xfId="0" applyNumberFormat="1" applyFont="1" applyFill="1" applyBorder="1" applyAlignment="1">
      <alignment horizontal="center" vertical="center"/>
    </xf>
    <xf numFmtId="0" fontId="22" fillId="33" borderId="5" xfId="0" applyFont="1" applyFill="1" applyBorder="1" applyAlignment="1">
      <alignment horizontal="center" vertical="center"/>
    </xf>
    <xf numFmtId="0" fontId="24" fillId="11" borderId="0" xfId="0" applyFont="1" applyFill="1" applyAlignment="1">
      <alignment horizontal="center" vertical="center"/>
    </xf>
    <xf numFmtId="0" fontId="0" fillId="11" borderId="0" xfId="0" applyFill="1"/>
    <xf numFmtId="3" fontId="24" fillId="11" borderId="0" xfId="0" applyNumberFormat="1" applyFont="1" applyFill="1" applyAlignment="1">
      <alignment horizontal="center" vertical="center"/>
    </xf>
    <xf numFmtId="0" fontId="0" fillId="11" borderId="0" xfId="0" applyFill="1" applyAlignment="1">
      <alignment vertical="center"/>
    </xf>
    <xf numFmtId="0" fontId="0" fillId="11" borderId="0" xfId="0" applyFill="1" applyAlignment="1">
      <alignment horizontal="right" vertical="center"/>
    </xf>
    <xf numFmtId="0" fontId="24" fillId="34" borderId="5" xfId="0" applyFont="1" applyFill="1" applyBorder="1" applyAlignment="1">
      <alignment horizontal="center" vertical="center"/>
    </xf>
    <xf numFmtId="0" fontId="24" fillId="34" borderId="5" xfId="0" applyFont="1" applyFill="1" applyBorder="1" applyAlignment="1">
      <alignment vertical="center"/>
    </xf>
    <xf numFmtId="164" fontId="22" fillId="34" borderId="5" xfId="0" applyNumberFormat="1" applyFont="1" applyFill="1" applyBorder="1" applyAlignment="1">
      <alignment vertical="center"/>
    </xf>
    <xf numFmtId="164" fontId="24" fillId="34" borderId="5" xfId="0" applyNumberFormat="1" applyFont="1" applyFill="1" applyBorder="1" applyAlignment="1">
      <alignment horizontal="right" vertical="center"/>
    </xf>
    <xf numFmtId="0" fontId="24" fillId="35" borderId="0" xfId="0" applyFont="1" applyFill="1" applyAlignment="1">
      <alignment horizontal="center" vertical="center"/>
    </xf>
    <xf numFmtId="0" fontId="7" fillId="35" borderId="0" xfId="0" applyFont="1" applyFill="1" applyAlignment="1">
      <alignment vertical="center"/>
    </xf>
    <xf numFmtId="0" fontId="24" fillId="35" borderId="0" xfId="0" applyFont="1" applyFill="1" applyAlignment="1">
      <alignment vertical="center"/>
    </xf>
    <xf numFmtId="3" fontId="24" fillId="35" borderId="0" xfId="0" applyNumberFormat="1" applyFont="1" applyFill="1" applyAlignment="1">
      <alignment horizontal="center" vertical="center"/>
    </xf>
    <xf numFmtId="0" fontId="22" fillId="35" borderId="6" xfId="0" applyFont="1" applyFill="1" applyBorder="1" applyAlignment="1">
      <alignment horizontal="center" vertical="center"/>
    </xf>
    <xf numFmtId="0" fontId="22" fillId="35" borderId="5" xfId="0" applyFont="1" applyFill="1" applyBorder="1" applyAlignment="1">
      <alignment horizontal="center" vertical="center"/>
    </xf>
    <xf numFmtId="3" fontId="22" fillId="35" borderId="5" xfId="0" applyNumberFormat="1" applyFont="1" applyFill="1" applyBorder="1" applyAlignment="1">
      <alignment horizontal="center" vertical="center"/>
    </xf>
    <xf numFmtId="4" fontId="24" fillId="35" borderId="5" xfId="0" applyNumberFormat="1" applyFont="1" applyFill="1" applyBorder="1" applyAlignment="1">
      <alignment horizontal="center" vertical="center"/>
    </xf>
    <xf numFmtId="164" fontId="22" fillId="35" borderId="5" xfId="0" applyNumberFormat="1" applyFont="1" applyFill="1" applyBorder="1" applyAlignment="1">
      <alignment horizontal="right" vertical="center"/>
    </xf>
    <xf numFmtId="0" fontId="24" fillId="35" borderId="6" xfId="0" applyFont="1" applyFill="1" applyBorder="1" applyAlignment="1">
      <alignment horizontal="center" vertical="center"/>
    </xf>
    <xf numFmtId="0" fontId="0" fillId="35" borderId="6" xfId="0" applyFill="1" applyBorder="1" applyAlignment="1">
      <alignment vertical="center"/>
    </xf>
    <xf numFmtId="0" fontId="17" fillId="35" borderId="6" xfId="0" applyFont="1" applyFill="1" applyBorder="1" applyAlignment="1">
      <alignment vertical="center"/>
    </xf>
    <xf numFmtId="3" fontId="24" fillId="35" borderId="6" xfId="0" applyNumberFormat="1" applyFont="1" applyFill="1" applyBorder="1" applyAlignment="1">
      <alignment horizontal="center" vertical="center"/>
    </xf>
    <xf numFmtId="4" fontId="22" fillId="35" borderId="5" xfId="0" applyNumberFormat="1" applyFont="1" applyFill="1" applyBorder="1" applyAlignment="1">
      <alignment horizontal="center" vertical="center"/>
    </xf>
    <xf numFmtId="0" fontId="0" fillId="12" borderId="7" xfId="0" applyFill="1" applyBorder="1" applyAlignment="1">
      <alignment horizontal="center" vertical="center"/>
    </xf>
    <xf numFmtId="0" fontId="35" fillId="12" borderId="3" xfId="0" applyFont="1" applyFill="1" applyBorder="1" applyAlignment="1">
      <alignment vertical="center"/>
    </xf>
    <xf numFmtId="0" fontId="38" fillId="12" borderId="3" xfId="0" applyFont="1" applyFill="1" applyBorder="1" applyAlignment="1">
      <alignment vertical="center"/>
    </xf>
    <xf numFmtId="164" fontId="34" fillId="12" borderId="3" xfId="0" applyNumberFormat="1" applyFont="1" applyFill="1" applyBorder="1" applyAlignment="1">
      <alignment vertical="center"/>
    </xf>
    <xf numFmtId="164" fontId="38" fillId="12" borderId="3" xfId="0" applyNumberFormat="1" applyFont="1" applyFill="1" applyBorder="1" applyAlignment="1">
      <alignment horizontal="right" vertical="center"/>
    </xf>
    <xf numFmtId="0" fontId="0" fillId="10" borderId="0" xfId="0" applyFill="1" applyAlignment="1">
      <alignment horizontal="center" vertical="center"/>
    </xf>
    <xf numFmtId="0" fontId="0" fillId="10" borderId="0" xfId="0" applyFill="1" applyAlignment="1">
      <alignment vertical="center"/>
    </xf>
    <xf numFmtId="0" fontId="17" fillId="10" borderId="0" xfId="0" applyFont="1" applyFill="1" applyAlignment="1">
      <alignment vertical="center"/>
    </xf>
    <xf numFmtId="0" fontId="38" fillId="10" borderId="0" xfId="0" applyFont="1" applyFill="1" applyAlignment="1">
      <alignment horizontal="center" vertical="center"/>
    </xf>
    <xf numFmtId="4" fontId="34" fillId="10" borderId="0" xfId="0" applyNumberFormat="1" applyFont="1" applyFill="1" applyAlignment="1">
      <alignment horizontal="center" vertical="center"/>
    </xf>
    <xf numFmtId="4" fontId="38" fillId="10" borderId="0" xfId="0" applyNumberFormat="1" applyFont="1" applyFill="1" applyAlignment="1">
      <alignment horizontal="center" vertical="center"/>
    </xf>
    <xf numFmtId="4" fontId="34" fillId="10" borderId="8" xfId="0" applyNumberFormat="1" applyFont="1" applyFill="1" applyBorder="1" applyAlignment="1">
      <alignment horizontal="center" vertical="center"/>
    </xf>
    <xf numFmtId="4" fontId="34" fillId="10" borderId="9" xfId="0" applyNumberFormat="1" applyFont="1" applyFill="1" applyBorder="1" applyAlignment="1">
      <alignment horizontal="center" vertical="center"/>
    </xf>
    <xf numFmtId="4" fontId="38" fillId="10" borderId="9" xfId="0" applyNumberFormat="1" applyFont="1" applyFill="1" applyBorder="1" applyAlignment="1">
      <alignment horizontal="center" vertical="center"/>
    </xf>
    <xf numFmtId="4" fontId="38" fillId="10" borderId="3" xfId="0" applyNumberFormat="1" applyFont="1" applyFill="1" applyBorder="1" applyAlignment="1">
      <alignment horizontal="center" vertical="center"/>
    </xf>
    <xf numFmtId="164" fontId="34" fillId="10" borderId="3" xfId="0" applyNumberFormat="1" applyFont="1" applyFill="1" applyBorder="1" applyAlignment="1">
      <alignment horizontal="right" vertical="center"/>
    </xf>
    <xf numFmtId="0" fontId="0" fillId="10" borderId="10" xfId="0" applyFill="1" applyBorder="1" applyAlignment="1">
      <alignment horizontal="center" vertical="center"/>
    </xf>
    <xf numFmtId="0" fontId="0" fillId="10" borderId="10" xfId="0" applyFill="1" applyBorder="1" applyAlignment="1">
      <alignment vertical="center"/>
    </xf>
    <xf numFmtId="0" fontId="17" fillId="10" borderId="10" xfId="0" applyFont="1" applyFill="1" applyBorder="1" applyAlignment="1">
      <alignment vertical="center"/>
    </xf>
    <xf numFmtId="0" fontId="38" fillId="10" borderId="10" xfId="0" applyFont="1" applyFill="1" applyBorder="1" applyAlignment="1">
      <alignment horizontal="center" vertical="center"/>
    </xf>
    <xf numFmtId="4" fontId="38" fillId="10" borderId="10" xfId="0" applyNumberFormat="1" applyFont="1" applyFill="1" applyBorder="1" applyAlignment="1">
      <alignment horizontal="center" vertical="center"/>
    </xf>
    <xf numFmtId="164" fontId="38" fillId="10" borderId="3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horizontal="center"/>
    </xf>
    <xf numFmtId="0" fontId="37" fillId="0" borderId="0" xfId="0" applyFont="1"/>
    <xf numFmtId="164" fontId="37" fillId="0" borderId="0" xfId="0" applyNumberFormat="1" applyFont="1"/>
    <xf numFmtId="0" fontId="24" fillId="0" borderId="0" xfId="0" applyFont="1" applyAlignment="1">
      <alignment horizontal="center"/>
    </xf>
    <xf numFmtId="0" fontId="22" fillId="0" borderId="0" xfId="0" applyFont="1" applyAlignment="1">
      <alignment vertical="center"/>
    </xf>
    <xf numFmtId="0" fontId="18" fillId="11" borderId="0" xfId="0" applyFont="1" applyFill="1" applyAlignment="1" applyProtection="1">
      <alignment horizontal="center" vertical="center"/>
      <protection locked="0"/>
    </xf>
    <xf numFmtId="0" fontId="34" fillId="11" borderId="0" xfId="0" applyFont="1" applyFill="1" applyAlignment="1">
      <alignment horizontal="center" vertical="center" wrapText="1"/>
    </xf>
    <xf numFmtId="0" fontId="38" fillId="11" borderId="0" xfId="0" applyFont="1" applyFill="1" applyAlignment="1">
      <alignment horizontal="center" vertical="center"/>
    </xf>
    <xf numFmtId="0" fontId="22" fillId="36" borderId="0" xfId="9" applyFont="1" applyFill="1" applyBorder="1" applyAlignment="1" applyProtection="1">
      <alignment horizontal="center" vertical="center"/>
    </xf>
    <xf numFmtId="0" fontId="36" fillId="0" borderId="0" xfId="0" applyFont="1" applyAlignment="1">
      <alignment horizontal="center" vertical="center"/>
    </xf>
    <xf numFmtId="0" fontId="24" fillId="39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0" fontId="36" fillId="40" borderId="0" xfId="0" applyFont="1" applyFill="1" applyAlignment="1">
      <alignment horizontal="center" vertical="center" wrapText="1"/>
    </xf>
    <xf numFmtId="0" fontId="36" fillId="32" borderId="0" xfId="0" applyFont="1" applyFill="1" applyAlignment="1">
      <alignment horizontal="center" vertical="center" wrapText="1"/>
    </xf>
    <xf numFmtId="0" fontId="36" fillId="41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24" fillId="5" borderId="0" xfId="0" applyFont="1" applyFill="1"/>
    <xf numFmtId="0" fontId="17" fillId="21" borderId="0" xfId="0" applyFont="1" applyFill="1" applyAlignment="1">
      <alignment horizontal="center" wrapText="1"/>
    </xf>
    <xf numFmtId="3" fontId="17" fillId="33" borderId="0" xfId="0" applyNumberFormat="1" applyFont="1" applyFill="1" applyAlignment="1">
      <alignment horizontal="center" vertical="center"/>
    </xf>
    <xf numFmtId="3" fontId="24" fillId="33" borderId="0" xfId="0" applyNumberFormat="1" applyFont="1" applyFill="1" applyAlignment="1">
      <alignment horizontal="center" vertical="center"/>
    </xf>
    <xf numFmtId="3" fontId="24" fillId="38" borderId="0" xfId="0" applyNumberFormat="1" applyFont="1" applyFill="1" applyAlignment="1">
      <alignment horizontal="center" vertical="center"/>
    </xf>
    <xf numFmtId="0" fontId="24" fillId="21" borderId="0" xfId="0" applyFont="1" applyFill="1" applyAlignment="1">
      <alignment horizontal="center" wrapText="1"/>
    </xf>
    <xf numFmtId="0" fontId="35" fillId="12" borderId="0" xfId="0" applyFont="1" applyFill="1" applyAlignment="1">
      <alignment horizontal="center" vertical="center"/>
    </xf>
    <xf numFmtId="0" fontId="34" fillId="12" borderId="0" xfId="0" applyFont="1" applyFill="1"/>
    <xf numFmtId="3" fontId="38" fillId="12" borderId="0" xfId="0" applyNumberFormat="1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7" fillId="9" borderId="0" xfId="0" applyFont="1" applyFill="1" applyAlignment="1">
      <alignment vertical="center"/>
    </xf>
    <xf numFmtId="0" fontId="24" fillId="9" borderId="0" xfId="0" applyFont="1" applyFill="1"/>
    <xf numFmtId="4" fontId="40" fillId="0" borderId="0" xfId="0" applyNumberFormat="1" applyFont="1" applyAlignment="1">
      <alignment horizontal="center" vertical="center"/>
    </xf>
    <xf numFmtId="4" fontId="3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0" fillId="0" borderId="0" xfId="0" applyFont="1" applyAlignment="1">
      <alignment horizontal="center" vertical="center"/>
    </xf>
    <xf numFmtId="4" fontId="41" fillId="0" borderId="0" xfId="0" applyNumberFormat="1" applyFont="1" applyAlignment="1">
      <alignment horizontal="left" vertical="center"/>
    </xf>
    <xf numFmtId="0" fontId="18" fillId="11" borderId="0" xfId="0" applyFont="1" applyFill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11" borderId="14" xfId="0" applyFont="1" applyFill="1" applyBorder="1" applyAlignment="1" applyProtection="1">
      <alignment vertical="center"/>
      <protection locked="0"/>
    </xf>
    <xf numFmtId="0" fontId="18" fillId="11" borderId="15" xfId="0" applyFont="1" applyFill="1" applyBorder="1" applyAlignment="1" applyProtection="1">
      <alignment horizontal="right" vertical="center"/>
      <protection locked="0"/>
    </xf>
    <xf numFmtId="169" fontId="43" fillId="16" borderId="2" xfId="7" applyNumberFormat="1" applyFont="1" applyFill="1" applyBorder="1" applyAlignment="1" applyProtection="1">
      <alignment horizontal="center" vertical="center"/>
      <protection locked="0"/>
    </xf>
    <xf numFmtId="0" fontId="17" fillId="11" borderId="16" xfId="0" applyFont="1" applyFill="1" applyBorder="1" applyAlignment="1" applyProtection="1">
      <alignment vertical="center"/>
      <protection locked="0"/>
    </xf>
    <xf numFmtId="0" fontId="18" fillId="11" borderId="17" xfId="0" applyFont="1" applyFill="1" applyBorder="1" applyAlignment="1" applyProtection="1">
      <alignment horizontal="right" vertical="center"/>
      <protection locked="0"/>
    </xf>
    <xf numFmtId="170" fontId="44" fillId="42" borderId="18" xfId="0" applyNumberFormat="1" applyFont="1" applyFill="1" applyBorder="1" applyAlignment="1" applyProtection="1">
      <alignment horizontal="center" vertical="center"/>
      <protection locked="0"/>
    </xf>
    <xf numFmtId="0" fontId="18" fillId="11" borderId="16" xfId="0" applyFont="1" applyFill="1" applyBorder="1" applyAlignment="1" applyProtection="1">
      <alignment vertical="center"/>
      <protection locked="0"/>
    </xf>
    <xf numFmtId="170" fontId="44" fillId="42" borderId="2" xfId="0" applyNumberFormat="1" applyFont="1" applyFill="1" applyBorder="1" applyAlignment="1" applyProtection="1">
      <alignment horizontal="center" vertical="center"/>
      <protection locked="0"/>
    </xf>
    <xf numFmtId="0" fontId="17" fillId="11" borderId="19" xfId="0" applyFont="1" applyFill="1" applyBorder="1" applyAlignment="1" applyProtection="1">
      <alignment vertical="center"/>
      <protection locked="0"/>
    </xf>
    <xf numFmtId="0" fontId="18" fillId="11" borderId="20" xfId="0" applyFont="1" applyFill="1" applyBorder="1" applyAlignment="1" applyProtection="1">
      <alignment horizontal="right" vertical="center"/>
      <protection locked="0"/>
    </xf>
    <xf numFmtId="170" fontId="17" fillId="42" borderId="2" xfId="0" applyNumberFormat="1" applyFont="1" applyFill="1" applyBorder="1" applyAlignment="1" applyProtection="1">
      <alignment horizontal="center" vertical="center"/>
      <protection locked="0"/>
    </xf>
    <xf numFmtId="0" fontId="17" fillId="11" borderId="0" xfId="0" applyFont="1" applyFill="1" applyAlignment="1" applyProtection="1">
      <alignment vertical="center"/>
      <protection locked="0"/>
    </xf>
    <xf numFmtId="0" fontId="18" fillId="11" borderId="0" xfId="0" applyFont="1" applyFill="1" applyAlignment="1" applyProtection="1">
      <alignment horizontal="right" vertical="center"/>
      <protection locked="0"/>
    </xf>
    <xf numFmtId="170" fontId="17" fillId="11" borderId="0" xfId="0" applyNumberFormat="1" applyFont="1" applyFill="1" applyAlignment="1" applyProtection="1">
      <alignment horizontal="center" vertical="center"/>
      <protection locked="0"/>
    </xf>
    <xf numFmtId="0" fontId="45" fillId="11" borderId="14" xfId="0" applyFont="1" applyFill="1" applyBorder="1" applyAlignment="1" applyProtection="1">
      <alignment horizontal="center" vertical="center"/>
      <protection locked="0"/>
    </xf>
    <xf numFmtId="0" fontId="18" fillId="43" borderId="2" xfId="0" applyFont="1" applyFill="1" applyBorder="1" applyAlignment="1" applyProtection="1">
      <alignment horizontal="center" vertical="center" wrapText="1"/>
      <protection locked="0"/>
    </xf>
    <xf numFmtId="0" fontId="18" fillId="44" borderId="19" xfId="0" applyFont="1" applyFill="1" applyBorder="1" applyAlignment="1" applyProtection="1">
      <alignment vertical="center" wrapText="1"/>
      <protection locked="0"/>
    </xf>
    <xf numFmtId="167" fontId="30" fillId="44" borderId="18" xfId="7" applyFont="1" applyFill="1" applyBorder="1" applyAlignment="1" applyProtection="1">
      <alignment horizontal="center" vertical="center"/>
      <protection locked="0"/>
    </xf>
    <xf numFmtId="167" fontId="30" fillId="44" borderId="13" xfId="7" applyFont="1" applyFill="1" applyBorder="1" applyAlignment="1" applyProtection="1">
      <alignment horizontal="center" vertical="center"/>
      <protection locked="0"/>
    </xf>
    <xf numFmtId="0" fontId="17" fillId="11" borderId="16" xfId="0" applyFont="1" applyFill="1" applyBorder="1" applyAlignment="1" applyProtection="1">
      <alignment vertical="center" wrapText="1"/>
      <protection locked="0"/>
    </xf>
    <xf numFmtId="166" fontId="47" fillId="11" borderId="12" xfId="11" applyNumberFormat="1" applyFont="1" applyFill="1" applyBorder="1" applyAlignment="1" applyProtection="1">
      <alignment vertical="center"/>
      <protection locked="0"/>
    </xf>
    <xf numFmtId="167" fontId="30" fillId="11" borderId="17" xfId="7" applyFont="1" applyFill="1" applyBorder="1" applyAlignment="1" applyProtection="1">
      <alignment horizontal="right"/>
      <protection locked="0"/>
    </xf>
    <xf numFmtId="167" fontId="48" fillId="0" borderId="18" xfId="11" applyNumberFormat="1" applyFont="1" applyFill="1" applyBorder="1" applyAlignment="1" applyProtection="1">
      <alignment vertical="center"/>
      <protection locked="0"/>
    </xf>
    <xf numFmtId="171" fontId="30" fillId="11" borderId="17" xfId="7" applyNumberFormat="1" applyFont="1" applyFill="1" applyBorder="1" applyAlignment="1" applyProtection="1">
      <alignment horizontal="right"/>
      <protection locked="0"/>
    </xf>
    <xf numFmtId="167" fontId="48" fillId="11" borderId="18" xfId="11" applyNumberFormat="1" applyFont="1" applyFill="1" applyBorder="1" applyAlignment="1" applyProtection="1">
      <alignment vertical="center"/>
      <protection locked="0"/>
    </xf>
    <xf numFmtId="0" fontId="17" fillId="0" borderId="16" xfId="0" applyFont="1" applyBorder="1" applyAlignment="1" applyProtection="1">
      <alignment vertical="center" wrapText="1"/>
      <protection locked="0"/>
    </xf>
    <xf numFmtId="167" fontId="30" fillId="0" borderId="17" xfId="7" applyFont="1" applyFill="1" applyBorder="1" applyAlignment="1" applyProtection="1">
      <alignment horizontal="right"/>
      <protection locked="0"/>
    </xf>
    <xf numFmtId="0" fontId="48" fillId="11" borderId="13" xfId="0" applyFont="1" applyFill="1" applyBorder="1" applyAlignment="1" applyProtection="1">
      <alignment vertical="center"/>
      <protection locked="0"/>
    </xf>
    <xf numFmtId="0" fontId="18" fillId="43" borderId="2" xfId="0" applyFont="1" applyFill="1" applyBorder="1" applyAlignment="1" applyProtection="1">
      <alignment horizontal="right" vertical="center" wrapText="1"/>
      <protection locked="0"/>
    </xf>
    <xf numFmtId="10" fontId="18" fillId="43" borderId="6" xfId="0" applyNumberFormat="1" applyFont="1" applyFill="1" applyBorder="1" applyAlignment="1" applyProtection="1">
      <alignment horizontal="right" vertical="center" wrapText="1"/>
      <protection locked="0"/>
    </xf>
    <xf numFmtId="167" fontId="30" fillId="43" borderId="2" xfId="0" applyNumberFormat="1" applyFont="1" applyFill="1" applyBorder="1" applyAlignment="1" applyProtection="1">
      <alignment vertical="center"/>
      <protection locked="0"/>
    </xf>
    <xf numFmtId="0" fontId="18" fillId="11" borderId="0" xfId="0" applyFont="1" applyFill="1" applyAlignment="1" applyProtection="1">
      <alignment vertical="center" wrapText="1"/>
      <protection locked="0"/>
    </xf>
    <xf numFmtId="0" fontId="48" fillId="11" borderId="0" xfId="0" applyFont="1" applyFill="1" applyAlignment="1" applyProtection="1">
      <alignment vertical="center"/>
      <protection locked="0"/>
    </xf>
    <xf numFmtId="167" fontId="30" fillId="11" borderId="0" xfId="0" applyNumberFormat="1" applyFont="1" applyFill="1" applyAlignment="1" applyProtection="1">
      <alignment vertical="center"/>
      <protection locked="0"/>
    </xf>
    <xf numFmtId="0" fontId="18" fillId="45" borderId="19" xfId="0" applyFont="1" applyFill="1" applyBorder="1" applyAlignment="1" applyProtection="1">
      <alignment horizontal="left" vertical="center" wrapText="1"/>
      <protection locked="0"/>
    </xf>
    <xf numFmtId="167" fontId="30" fillId="45" borderId="13" xfId="7" applyFont="1" applyFill="1" applyBorder="1" applyAlignment="1" applyProtection="1">
      <alignment horizontal="center" vertical="center"/>
      <protection locked="0"/>
    </xf>
    <xf numFmtId="0" fontId="17" fillId="11" borderId="14" xfId="0" applyFont="1" applyFill="1" applyBorder="1" applyAlignment="1" applyProtection="1">
      <alignment vertical="center" wrapText="1"/>
      <protection locked="0"/>
    </xf>
    <xf numFmtId="10" fontId="43" fillId="11" borderId="12" xfId="11" applyNumberFormat="1" applyFont="1" applyFill="1" applyBorder="1" applyAlignment="1" applyProtection="1">
      <alignment vertical="center"/>
      <protection locked="0"/>
    </xf>
    <xf numFmtId="167" fontId="30" fillId="11" borderId="12" xfId="7" applyFont="1" applyFill="1" applyBorder="1" applyAlignment="1" applyProtection="1">
      <alignment vertical="center"/>
      <protection locked="0"/>
    </xf>
    <xf numFmtId="10" fontId="43" fillId="11" borderId="18" xfId="11" applyNumberFormat="1" applyFont="1" applyFill="1" applyBorder="1" applyAlignment="1" applyProtection="1">
      <alignment vertical="center"/>
      <protection locked="0"/>
    </xf>
    <xf numFmtId="167" fontId="30" fillId="11" borderId="18" xfId="7" applyFont="1" applyFill="1" applyBorder="1" applyAlignment="1" applyProtection="1">
      <alignment vertical="center"/>
      <protection locked="0"/>
    </xf>
    <xf numFmtId="0" fontId="18" fillId="43" borderId="11" xfId="0" applyFont="1" applyFill="1" applyBorder="1" applyAlignment="1" applyProtection="1">
      <alignment horizontal="right" vertical="center" wrapText="1"/>
      <protection locked="0"/>
    </xf>
    <xf numFmtId="10" fontId="30" fillId="43" borderId="2" xfId="0" applyNumberFormat="1" applyFont="1" applyFill="1" applyBorder="1" applyAlignment="1" applyProtection="1">
      <alignment vertical="center"/>
      <protection locked="0"/>
    </xf>
    <xf numFmtId="0" fontId="18" fillId="15" borderId="11" xfId="0" applyFont="1" applyFill="1" applyBorder="1" applyAlignment="1" applyProtection="1">
      <alignment horizontal="left" vertical="center" wrapText="1"/>
      <protection locked="0"/>
    </xf>
    <xf numFmtId="167" fontId="30" fillId="15" borderId="13" xfId="7" applyFont="1" applyFill="1" applyBorder="1" applyAlignment="1" applyProtection="1">
      <alignment horizontal="center" vertical="center"/>
      <protection locked="0"/>
    </xf>
    <xf numFmtId="10" fontId="29" fillId="11" borderId="18" xfId="11" applyNumberFormat="1" applyFont="1" applyFill="1" applyBorder="1" applyAlignment="1" applyProtection="1">
      <alignment vertical="center"/>
      <protection locked="0"/>
    </xf>
    <xf numFmtId="167" fontId="30" fillId="11" borderId="17" xfId="7" applyFont="1" applyFill="1" applyBorder="1" applyAlignment="1" applyProtection="1">
      <alignment vertical="center"/>
      <protection locked="0"/>
    </xf>
    <xf numFmtId="0" fontId="50" fillId="3" borderId="0" xfId="0" applyFont="1" applyFill="1" applyAlignment="1" applyProtection="1">
      <alignment vertical="center"/>
      <protection locked="0"/>
    </xf>
    <xf numFmtId="0" fontId="50" fillId="0" borderId="0" xfId="0" applyFont="1" applyAlignment="1" applyProtection="1">
      <alignment vertical="center"/>
      <protection locked="0"/>
    </xf>
    <xf numFmtId="10" fontId="31" fillId="11" borderId="18" xfId="11" applyNumberFormat="1" applyFont="1" applyFill="1" applyBorder="1" applyAlignment="1" applyProtection="1">
      <alignment vertical="center"/>
      <protection locked="0"/>
    </xf>
    <xf numFmtId="167" fontId="30" fillId="43" borderId="21" xfId="0" applyNumberFormat="1" applyFont="1" applyFill="1" applyBorder="1" applyAlignment="1" applyProtection="1">
      <alignment vertical="center"/>
      <protection locked="0"/>
    </xf>
    <xf numFmtId="0" fontId="18" fillId="15" borderId="19" xfId="0" applyFont="1" applyFill="1" applyBorder="1" applyAlignment="1" applyProtection="1">
      <alignment vertical="center" wrapText="1"/>
      <protection locked="0"/>
    </xf>
    <xf numFmtId="167" fontId="30" fillId="15" borderId="18" xfId="7" applyFont="1" applyFill="1" applyBorder="1" applyAlignment="1" applyProtection="1">
      <alignment horizontal="center" vertical="center"/>
      <protection locked="0"/>
    </xf>
    <xf numFmtId="168" fontId="43" fillId="0" borderId="16" xfId="11" applyNumberFormat="1" applyFont="1" applyFill="1" applyBorder="1" applyAlignment="1" applyProtection="1">
      <alignment vertical="center"/>
      <protection locked="0"/>
    </xf>
    <xf numFmtId="167" fontId="30" fillId="11" borderId="12" xfId="7" applyFont="1" applyFill="1" applyBorder="1" applyAlignment="1" applyProtection="1">
      <protection locked="0"/>
    </xf>
    <xf numFmtId="168" fontId="43" fillId="11" borderId="16" xfId="11" applyNumberFormat="1" applyFont="1" applyFill="1" applyBorder="1" applyAlignment="1" applyProtection="1">
      <alignment vertical="center"/>
      <protection locked="0"/>
    </xf>
    <xf numFmtId="0" fontId="17" fillId="11" borderId="16" xfId="0" applyFont="1" applyFill="1" applyBorder="1" applyAlignment="1">
      <alignment vertical="center" wrapText="1"/>
    </xf>
    <xf numFmtId="167" fontId="30" fillId="11" borderId="13" xfId="7" applyFont="1" applyFill="1" applyBorder="1" applyAlignment="1" applyProtection="1">
      <alignment vertical="center"/>
      <protection locked="0"/>
    </xf>
    <xf numFmtId="0" fontId="18" fillId="44" borderId="2" xfId="0" applyFont="1" applyFill="1" applyBorder="1" applyAlignment="1" applyProtection="1">
      <alignment horizontal="left" vertical="center" wrapText="1"/>
      <protection locked="0"/>
    </xf>
    <xf numFmtId="167" fontId="30" fillId="44" borderId="20" xfId="7" applyFont="1" applyFill="1" applyBorder="1" applyAlignment="1" applyProtection="1">
      <alignment horizontal="center" vertical="center"/>
      <protection locked="0"/>
    </xf>
    <xf numFmtId="0" fontId="17" fillId="11" borderId="12" xfId="0" applyFont="1" applyFill="1" applyBorder="1" applyAlignment="1" applyProtection="1">
      <alignment horizontal="left" vertical="center" wrapText="1"/>
      <protection locked="0"/>
    </xf>
    <xf numFmtId="10" fontId="29" fillId="11" borderId="15" xfId="0" applyNumberFormat="1" applyFont="1" applyFill="1" applyBorder="1" applyAlignment="1" applyProtection="1">
      <alignment horizontal="right" vertical="center" wrapText="1"/>
      <protection locked="0"/>
    </xf>
    <xf numFmtId="0" fontId="17" fillId="11" borderId="18" xfId="0" applyFont="1" applyFill="1" applyBorder="1" applyAlignment="1" applyProtection="1">
      <alignment horizontal="left" vertical="center" wrapText="1"/>
      <protection locked="0"/>
    </xf>
    <xf numFmtId="10" fontId="29" fillId="11" borderId="17" xfId="0" applyNumberFormat="1" applyFont="1" applyFill="1" applyBorder="1" applyAlignment="1" applyProtection="1">
      <alignment horizontal="right" vertical="center" wrapText="1"/>
      <protection locked="0"/>
    </xf>
    <xf numFmtId="10" fontId="51" fillId="11" borderId="17" xfId="0" applyNumberFormat="1" applyFont="1" applyFill="1" applyBorder="1" applyAlignment="1" applyProtection="1">
      <alignment horizontal="right" vertical="center" wrapText="1"/>
      <protection locked="0"/>
    </xf>
    <xf numFmtId="10" fontId="18" fillId="43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0" xfId="0" applyFont="1" applyFill="1" applyAlignment="1" applyProtection="1">
      <alignment horizontal="right" vertical="center" wrapText="1"/>
      <protection locked="0"/>
    </xf>
    <xf numFmtId="167" fontId="30" fillId="44" borderId="22" xfId="7" applyFont="1" applyFill="1" applyBorder="1" applyAlignment="1" applyProtection="1">
      <alignment horizontal="center" vertical="center"/>
      <protection locked="0"/>
    </xf>
    <xf numFmtId="10" fontId="43" fillId="11" borderId="16" xfId="11" applyNumberFormat="1" applyFont="1" applyFill="1" applyBorder="1" applyAlignment="1" applyProtection="1">
      <alignment vertical="center"/>
      <protection locked="0"/>
    </xf>
    <xf numFmtId="167" fontId="30" fillId="11" borderId="23" xfId="7" applyFont="1" applyFill="1" applyBorder="1" applyAlignment="1" applyProtection="1">
      <alignment vertical="center"/>
      <protection locked="0"/>
    </xf>
    <xf numFmtId="10" fontId="29" fillId="11" borderId="16" xfId="11" applyNumberFormat="1" applyFont="1" applyFill="1" applyBorder="1" applyAlignment="1" applyProtection="1">
      <alignment vertical="center"/>
      <protection locked="0"/>
    </xf>
    <xf numFmtId="10" fontId="43" fillId="0" borderId="16" xfId="11" applyNumberFormat="1" applyFont="1" applyFill="1" applyBorder="1" applyAlignment="1" applyProtection="1">
      <alignment vertical="center"/>
      <protection locked="0"/>
    </xf>
    <xf numFmtId="10" fontId="18" fillId="43" borderId="2" xfId="0" applyNumberFormat="1" applyFont="1" applyFill="1" applyBorder="1" applyAlignment="1" applyProtection="1">
      <alignment horizontal="right" vertical="center" wrapText="1"/>
      <protection locked="0"/>
    </xf>
    <xf numFmtId="0" fontId="18" fillId="45" borderId="19" xfId="0" applyFont="1" applyFill="1" applyBorder="1" applyAlignment="1" applyProtection="1">
      <alignment vertical="center" wrapText="1"/>
      <protection locked="0"/>
    </xf>
    <xf numFmtId="167" fontId="30" fillId="45" borderId="2" xfId="7" applyFont="1" applyFill="1" applyBorder="1" applyAlignment="1" applyProtection="1">
      <alignment horizontal="center" vertical="center"/>
      <protection locked="0"/>
    </xf>
    <xf numFmtId="9" fontId="30" fillId="45" borderId="19" xfId="11" applyFont="1" applyFill="1" applyBorder="1" applyAlignment="1" applyProtection="1">
      <alignment vertical="center"/>
      <protection locked="0"/>
    </xf>
    <xf numFmtId="10" fontId="31" fillId="0" borderId="18" xfId="11" applyNumberFormat="1" applyFont="1" applyFill="1" applyBorder="1" applyAlignment="1" applyProtection="1">
      <alignment vertical="center"/>
      <protection locked="0"/>
    </xf>
    <xf numFmtId="167" fontId="30" fillId="0" borderId="17" xfId="7" applyFont="1" applyFill="1" applyBorder="1" applyAlignment="1" applyProtection="1">
      <alignment vertical="center"/>
      <protection locked="0"/>
    </xf>
    <xf numFmtId="0" fontId="18" fillId="44" borderId="14" xfId="0" applyFont="1" applyFill="1" applyBorder="1" applyAlignment="1" applyProtection="1">
      <alignment vertical="center" wrapText="1"/>
      <protection locked="0"/>
    </xf>
    <xf numFmtId="167" fontId="30" fillId="44" borderId="17" xfId="7" applyFont="1" applyFill="1" applyBorder="1" applyAlignment="1" applyProtection="1">
      <alignment horizontal="center" vertical="center"/>
      <protection locked="0"/>
    </xf>
    <xf numFmtId="0" fontId="17" fillId="11" borderId="12" xfId="0" applyFont="1" applyFill="1" applyBorder="1" applyAlignment="1" applyProtection="1">
      <alignment vertical="center" wrapText="1"/>
      <protection locked="0"/>
    </xf>
    <xf numFmtId="10" fontId="29" fillId="11" borderId="0" xfId="11" applyNumberFormat="1" applyFont="1" applyFill="1" applyBorder="1" applyAlignment="1" applyProtection="1">
      <alignment vertical="center"/>
      <protection locked="0"/>
    </xf>
    <xf numFmtId="0" fontId="17" fillId="11" borderId="18" xfId="0" applyFont="1" applyFill="1" applyBorder="1" applyAlignment="1" applyProtection="1">
      <alignment vertical="center" wrapText="1"/>
      <protection locked="0"/>
    </xf>
    <xf numFmtId="10" fontId="52" fillId="11" borderId="0" xfId="0" applyNumberFormat="1" applyFont="1" applyFill="1" applyAlignment="1" applyProtection="1">
      <alignment vertical="center"/>
      <protection locked="0"/>
    </xf>
    <xf numFmtId="0" fontId="18" fillId="44" borderId="16" xfId="0" applyFont="1" applyFill="1" applyBorder="1" applyAlignment="1" applyProtection="1">
      <alignment vertical="center" wrapText="1"/>
      <protection locked="0"/>
    </xf>
    <xf numFmtId="168" fontId="31" fillId="11" borderId="0" xfId="11" applyNumberFormat="1" applyFont="1" applyFill="1" applyBorder="1" applyAlignment="1" applyProtection="1">
      <protection locked="0"/>
    </xf>
    <xf numFmtId="168" fontId="47" fillId="11" borderId="0" xfId="11" applyNumberFormat="1" applyFont="1" applyFill="1" applyBorder="1" applyAlignment="1" applyProtection="1">
      <protection locked="0"/>
    </xf>
    <xf numFmtId="167" fontId="30" fillId="11" borderId="18" xfId="7" applyFont="1" applyFill="1" applyBorder="1" applyAlignment="1" applyProtection="1">
      <protection locked="0"/>
    </xf>
    <xf numFmtId="0" fontId="17" fillId="11" borderId="13" xfId="0" applyFont="1" applyFill="1" applyBorder="1" applyAlignment="1" applyProtection="1">
      <alignment vertical="center" wrapText="1"/>
      <protection locked="0"/>
    </xf>
    <xf numFmtId="168" fontId="47" fillId="11" borderId="0" xfId="11" applyNumberFormat="1" applyFont="1" applyFill="1" applyBorder="1" applyAlignment="1" applyProtection="1">
      <alignment vertical="center"/>
      <protection locked="0"/>
    </xf>
    <xf numFmtId="0" fontId="18" fillId="43" borderId="19" xfId="0" applyFont="1" applyFill="1" applyBorder="1" applyAlignment="1" applyProtection="1">
      <alignment horizontal="right" vertical="center" wrapText="1"/>
      <protection locked="0"/>
    </xf>
    <xf numFmtId="0" fontId="48" fillId="43" borderId="11" xfId="0" applyFont="1" applyFill="1" applyBorder="1" applyAlignment="1" applyProtection="1">
      <alignment vertical="center"/>
      <protection locked="0"/>
    </xf>
    <xf numFmtId="10" fontId="31" fillId="11" borderId="16" xfId="11" applyNumberFormat="1" applyFont="1" applyFill="1" applyBorder="1" applyAlignment="1" applyProtection="1">
      <alignment vertical="center"/>
      <protection locked="0"/>
    </xf>
    <xf numFmtId="167" fontId="30" fillId="11" borderId="24" xfId="7" applyFont="1" applyFill="1" applyBorder="1" applyAlignment="1" applyProtection="1">
      <alignment vertical="center"/>
      <protection locked="0"/>
    </xf>
    <xf numFmtId="167" fontId="30" fillId="11" borderId="25" xfId="7" applyFont="1" applyFill="1" applyBorder="1" applyAlignment="1" applyProtection="1">
      <alignment vertical="center"/>
      <protection locked="0"/>
    </xf>
    <xf numFmtId="0" fontId="17" fillId="46" borderId="16" xfId="0" applyFont="1" applyFill="1" applyBorder="1" applyAlignment="1" applyProtection="1">
      <alignment vertical="center" wrapText="1"/>
      <protection locked="0"/>
    </xf>
    <xf numFmtId="10" fontId="53" fillId="46" borderId="16" xfId="11" applyNumberFormat="1" applyFont="1" applyFill="1" applyBorder="1" applyAlignment="1" applyProtection="1">
      <alignment vertical="center"/>
      <protection locked="0"/>
    </xf>
    <xf numFmtId="167" fontId="30" fillId="46" borderId="25" xfId="7" applyFont="1" applyFill="1" applyBorder="1" applyAlignment="1" applyProtection="1">
      <alignment vertical="center"/>
      <protection locked="0"/>
    </xf>
    <xf numFmtId="0" fontId="23" fillId="11" borderId="16" xfId="0" applyFont="1" applyFill="1" applyBorder="1" applyAlignment="1" applyProtection="1">
      <alignment vertical="center" wrapText="1"/>
      <protection locked="0"/>
    </xf>
    <xf numFmtId="10" fontId="7" fillId="43" borderId="11" xfId="0" applyNumberFormat="1" applyFont="1" applyFill="1" applyBorder="1" applyAlignment="1" applyProtection="1">
      <alignment vertical="center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167" fontId="30" fillId="42" borderId="17" xfId="7" applyFont="1" applyFill="1" applyBorder="1" applyAlignment="1" applyProtection="1">
      <alignment horizontal="center" vertical="center"/>
      <protection locked="0"/>
    </xf>
    <xf numFmtId="167" fontId="30" fillId="11" borderId="2" xfId="0" applyNumberFormat="1" applyFont="1" applyFill="1" applyBorder="1" applyAlignment="1" applyProtection="1">
      <alignment vertical="center"/>
      <protection locked="0"/>
    </xf>
    <xf numFmtId="167" fontId="54" fillId="11" borderId="2" xfId="0" applyNumberFormat="1" applyFont="1" applyFill="1" applyBorder="1" applyAlignment="1" applyProtection="1">
      <alignment vertical="center"/>
      <protection locked="0"/>
    </xf>
    <xf numFmtId="167" fontId="26" fillId="47" borderId="2" xfId="0" applyNumberFormat="1" applyFont="1" applyFill="1" applyBorder="1" applyAlignment="1">
      <alignment vertical="center"/>
    </xf>
    <xf numFmtId="0" fontId="18" fillId="3" borderId="0" xfId="0" applyFont="1" applyFill="1" applyAlignment="1" applyProtection="1">
      <alignment vertical="center"/>
      <protection locked="0"/>
    </xf>
    <xf numFmtId="0" fontId="18" fillId="43" borderId="11" xfId="0" applyFont="1" applyFill="1" applyBorder="1" applyAlignment="1" applyProtection="1">
      <alignment horizontal="center" vertical="center" wrapText="1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167" fontId="30" fillId="11" borderId="17" xfId="7" applyFont="1" applyFill="1" applyBorder="1" applyAlignment="1" applyProtection="1">
      <protection locked="0"/>
    </xf>
    <xf numFmtId="171" fontId="30" fillId="11" borderId="17" xfId="7" applyNumberFormat="1" applyFont="1" applyFill="1" applyBorder="1" applyAlignment="1" applyProtection="1">
      <protection locked="0"/>
    </xf>
    <xf numFmtId="168" fontId="47" fillId="11" borderId="16" xfId="11" applyNumberFormat="1" applyFont="1" applyFill="1" applyBorder="1" applyAlignment="1" applyProtection="1">
      <alignment vertical="center"/>
      <protection locked="0"/>
    </xf>
    <xf numFmtId="9" fontId="56" fillId="45" borderId="19" xfId="11" applyFont="1" applyFill="1" applyBorder="1" applyAlignment="1" applyProtection="1">
      <alignment vertical="center"/>
      <protection locked="0"/>
    </xf>
    <xf numFmtId="10" fontId="47" fillId="11" borderId="16" xfId="11" applyNumberFormat="1" applyFont="1" applyFill="1" applyBorder="1" applyAlignment="1" applyProtection="1">
      <alignment vertical="center"/>
      <protection locked="0"/>
    </xf>
    <xf numFmtId="0" fontId="30" fillId="43" borderId="2" xfId="0" applyFont="1" applyFill="1" applyBorder="1" applyAlignment="1">
      <alignment horizontal="center" vertical="center"/>
    </xf>
    <xf numFmtId="0" fontId="30" fillId="17" borderId="2" xfId="0" applyFont="1" applyFill="1" applyBorder="1" applyAlignment="1">
      <alignment horizontal="center" vertical="center"/>
    </xf>
    <xf numFmtId="0" fontId="18" fillId="17" borderId="2" xfId="0" applyFont="1" applyFill="1" applyBorder="1" applyAlignment="1">
      <alignment horizontal="center" vertical="center"/>
    </xf>
    <xf numFmtId="0" fontId="17" fillId="11" borderId="12" xfId="0" applyFont="1" applyFill="1" applyBorder="1" applyAlignment="1">
      <alignment horizontal="left" vertical="center"/>
    </xf>
    <xf numFmtId="10" fontId="41" fillId="11" borderId="12" xfId="0" applyNumberFormat="1" applyFont="1" applyFill="1" applyBorder="1" applyAlignment="1">
      <alignment horizontal="center" vertical="center"/>
    </xf>
    <xf numFmtId="164" fontId="57" fillId="11" borderId="12" xfId="0" applyNumberFormat="1" applyFont="1" applyFill="1" applyBorder="1" applyAlignment="1">
      <alignment vertical="center"/>
    </xf>
    <xf numFmtId="0" fontId="17" fillId="11" borderId="18" xfId="0" applyFont="1" applyFill="1" applyBorder="1" applyAlignment="1">
      <alignment horizontal="left" vertical="center"/>
    </xf>
    <xf numFmtId="173" fontId="17" fillId="11" borderId="18" xfId="11" applyNumberFormat="1" applyFont="1" applyFill="1" applyBorder="1" applyAlignment="1" applyProtection="1">
      <alignment vertical="center" wrapText="1"/>
    </xf>
    <xf numFmtId="164" fontId="57" fillId="11" borderId="18" xfId="0" applyNumberFormat="1" applyFont="1" applyFill="1" applyBorder="1" applyAlignment="1">
      <alignment vertical="center"/>
    </xf>
    <xf numFmtId="173" fontId="17" fillId="11" borderId="18" xfId="11" applyNumberFormat="1" applyFont="1" applyFill="1" applyBorder="1" applyAlignment="1" applyProtection="1">
      <alignment vertical="center"/>
    </xf>
    <xf numFmtId="0" fontId="17" fillId="11" borderId="13" xfId="0" applyFont="1" applyFill="1" applyBorder="1" applyAlignment="1">
      <alignment horizontal="left" vertical="center"/>
    </xf>
    <xf numFmtId="173" fontId="17" fillId="11" borderId="13" xfId="11" applyNumberFormat="1" applyFont="1" applyFill="1" applyBorder="1" applyAlignment="1" applyProtection="1">
      <alignment vertical="center"/>
    </xf>
    <xf numFmtId="164" fontId="17" fillId="11" borderId="13" xfId="0" applyNumberFormat="1" applyFont="1" applyFill="1" applyBorder="1" applyAlignment="1">
      <alignment vertical="center"/>
    </xf>
    <xf numFmtId="0" fontId="30" fillId="15" borderId="14" xfId="0" applyFont="1" applyFill="1" applyBorder="1" applyAlignment="1">
      <alignment vertical="center"/>
    </xf>
    <xf numFmtId="0" fontId="30" fillId="15" borderId="2" xfId="0" applyFont="1" applyFill="1" applyBorder="1" applyAlignment="1">
      <alignment horizontal="left" vertical="center"/>
    </xf>
    <xf numFmtId="164" fontId="18" fillId="15" borderId="26" xfId="0" applyNumberFormat="1" applyFont="1" applyFill="1" applyBorder="1" applyAlignment="1">
      <alignment vertical="center"/>
    </xf>
    <xf numFmtId="164" fontId="17" fillId="3" borderId="0" xfId="0" applyNumberFormat="1" applyFont="1" applyFill="1" applyAlignment="1" applyProtection="1">
      <alignment vertical="center"/>
      <protection locked="0"/>
    </xf>
    <xf numFmtId="0" fontId="30" fillId="11" borderId="5" xfId="0" applyFont="1" applyFill="1" applyBorder="1" applyAlignment="1">
      <alignment horizontal="right" vertical="center"/>
    </xf>
    <xf numFmtId="10" fontId="30" fillId="11" borderId="5" xfId="0" applyNumberFormat="1" applyFont="1" applyFill="1" applyBorder="1" applyAlignment="1">
      <alignment horizontal="right" vertical="center"/>
    </xf>
    <xf numFmtId="164" fontId="18" fillId="11" borderId="5" xfId="0" applyNumberFormat="1" applyFont="1" applyFill="1" applyBorder="1" applyAlignment="1">
      <alignment vertical="center"/>
    </xf>
    <xf numFmtId="164" fontId="18" fillId="11" borderId="21" xfId="0" applyNumberFormat="1" applyFont="1" applyFill="1" applyBorder="1" applyAlignment="1">
      <alignment vertical="center"/>
    </xf>
    <xf numFmtId="49" fontId="18" fillId="17" borderId="2" xfId="0" applyNumberFormat="1" applyFont="1" applyFill="1" applyBorder="1" applyAlignment="1">
      <alignment horizontal="center" vertical="center"/>
    </xf>
    <xf numFmtId="10" fontId="18" fillId="17" borderId="2" xfId="0" applyNumberFormat="1" applyFont="1" applyFill="1" applyBorder="1" applyAlignment="1">
      <alignment horizontal="center" vertical="center"/>
    </xf>
    <xf numFmtId="0" fontId="17" fillId="0" borderId="27" xfId="0" applyFont="1" applyBorder="1" applyAlignment="1">
      <alignment horizontal="left" vertical="center"/>
    </xf>
    <xf numFmtId="10" fontId="57" fillId="11" borderId="12" xfId="0" applyNumberFormat="1" applyFont="1" applyFill="1" applyBorder="1" applyAlignment="1">
      <alignment horizontal="center" vertical="center"/>
    </xf>
    <xf numFmtId="164" fontId="17" fillId="11" borderId="12" xfId="0" applyNumberFormat="1" applyFont="1" applyFill="1" applyBorder="1" applyAlignment="1">
      <alignment vertical="center"/>
    </xf>
    <xf numFmtId="0" fontId="17" fillId="0" borderId="28" xfId="0" applyFont="1" applyBorder="1" applyAlignment="1">
      <alignment horizontal="left" vertical="center"/>
    </xf>
    <xf numFmtId="10" fontId="57" fillId="11" borderId="18" xfId="0" applyNumberFormat="1" applyFont="1" applyFill="1" applyBorder="1" applyAlignment="1">
      <alignment horizontal="center" vertical="center"/>
    </xf>
    <xf numFmtId="164" fontId="17" fillId="11" borderId="18" xfId="0" applyNumberFormat="1" applyFont="1" applyFill="1" applyBorder="1" applyAlignment="1">
      <alignment vertical="center"/>
    </xf>
    <xf numFmtId="0" fontId="18" fillId="20" borderId="28" xfId="0" applyFont="1" applyFill="1" applyBorder="1" applyAlignment="1">
      <alignment horizontal="left" vertical="center"/>
    </xf>
    <xf numFmtId="10" fontId="18" fillId="20" borderId="18" xfId="0" applyNumberFormat="1" applyFont="1" applyFill="1" applyBorder="1" applyAlignment="1">
      <alignment horizontal="center" vertical="center"/>
    </xf>
    <xf numFmtId="164" fontId="18" fillId="20" borderId="18" xfId="0" applyNumberFormat="1" applyFont="1" applyFill="1" applyBorder="1" applyAlignment="1">
      <alignment horizontal="right" vertical="center"/>
    </xf>
    <xf numFmtId="10" fontId="17" fillId="11" borderId="18" xfId="0" applyNumberFormat="1" applyFont="1" applyFill="1" applyBorder="1" applyAlignment="1">
      <alignment horizontal="center" vertical="center"/>
    </xf>
    <xf numFmtId="0" fontId="17" fillId="0" borderId="29" xfId="0" applyFont="1" applyBorder="1" applyAlignment="1">
      <alignment horizontal="left" vertical="center"/>
    </xf>
    <xf numFmtId="10" fontId="17" fillId="11" borderId="13" xfId="0" applyNumberFormat="1" applyFont="1" applyFill="1" applyBorder="1" applyAlignment="1">
      <alignment horizontal="center" vertical="center"/>
    </xf>
    <xf numFmtId="10" fontId="17" fillId="15" borderId="12" xfId="0" applyNumberFormat="1" applyFont="1" applyFill="1" applyBorder="1" applyAlignment="1">
      <alignment horizontal="center" vertical="center"/>
    </xf>
    <xf numFmtId="164" fontId="18" fillId="15" borderId="2" xfId="0" applyNumberFormat="1" applyFont="1" applyFill="1" applyBorder="1" applyAlignment="1">
      <alignment vertical="center"/>
    </xf>
    <xf numFmtId="10" fontId="18" fillId="15" borderId="2" xfId="0" applyNumberFormat="1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10" fontId="18" fillId="11" borderId="0" xfId="0" applyNumberFormat="1" applyFont="1" applyFill="1" applyAlignment="1">
      <alignment horizontal="center" vertical="center"/>
    </xf>
    <xf numFmtId="164" fontId="18" fillId="11" borderId="0" xfId="0" applyNumberFormat="1" applyFont="1" applyFill="1" applyAlignment="1">
      <alignment vertical="center"/>
    </xf>
    <xf numFmtId="0" fontId="18" fillId="42" borderId="2" xfId="0" applyFont="1" applyFill="1" applyBorder="1" applyAlignment="1" applyProtection="1">
      <alignment horizontal="center" vertical="center" wrapText="1"/>
      <protection locked="0"/>
    </xf>
    <xf numFmtId="164" fontId="18" fillId="0" borderId="2" xfId="0" applyNumberFormat="1" applyFont="1" applyBorder="1" applyAlignment="1">
      <alignment vertical="center"/>
    </xf>
    <xf numFmtId="0" fontId="17" fillId="11" borderId="0" xfId="0" applyFont="1" applyFill="1" applyAlignment="1">
      <alignment vertical="center"/>
    </xf>
    <xf numFmtId="0" fontId="17" fillId="11" borderId="0" xfId="0" applyFont="1" applyFill="1" applyAlignment="1">
      <alignment horizontal="left" vertical="center"/>
    </xf>
    <xf numFmtId="164" fontId="17" fillId="11" borderId="0" xfId="0" applyNumberFormat="1" applyFont="1" applyFill="1" applyAlignment="1">
      <alignment vertical="center"/>
    </xf>
    <xf numFmtId="0" fontId="26" fillId="10" borderId="2" xfId="0" applyFont="1" applyFill="1" applyBorder="1" applyAlignment="1">
      <alignment horizontal="center" vertical="center"/>
    </xf>
    <xf numFmtId="164" fontId="26" fillId="10" borderId="2" xfId="0" applyNumberFormat="1" applyFont="1" applyFill="1" applyBorder="1" applyAlignment="1">
      <alignment horizontal="right" vertical="center"/>
    </xf>
    <xf numFmtId="0" fontId="26" fillId="11" borderId="0" xfId="0" applyFont="1" applyFill="1" applyAlignment="1">
      <alignment vertical="center"/>
    </xf>
    <xf numFmtId="0" fontId="26" fillId="11" borderId="0" xfId="0" applyFont="1" applyFill="1" applyAlignment="1">
      <alignment horizontal="center" vertical="center"/>
    </xf>
    <xf numFmtId="164" fontId="26" fillId="11" borderId="0" xfId="0" applyNumberFormat="1" applyFont="1" applyFill="1" applyAlignment="1">
      <alignment horizontal="right" vertical="center"/>
    </xf>
    <xf numFmtId="0" fontId="17" fillId="3" borderId="0" xfId="0" applyFont="1" applyFill="1" applyAlignment="1" applyProtection="1">
      <alignment horizontal="justify" vertical="center"/>
      <protection locked="0"/>
    </xf>
    <xf numFmtId="0" fontId="17" fillId="0" borderId="0" xfId="0" applyFont="1" applyAlignment="1" applyProtection="1">
      <alignment horizontal="justify" vertical="center"/>
      <protection locked="0"/>
    </xf>
    <xf numFmtId="0" fontId="17" fillId="0" borderId="0" xfId="0" applyFont="1" applyAlignment="1">
      <alignment horizontal="justify"/>
    </xf>
    <xf numFmtId="0" fontId="30" fillId="43" borderId="2" xfId="0" applyFont="1" applyFill="1" applyBorder="1" applyAlignment="1">
      <alignment horizontal="center" vertical="center"/>
    </xf>
    <xf numFmtId="10" fontId="17" fillId="11" borderId="12" xfId="0" applyNumberFormat="1" applyFont="1" applyFill="1" applyBorder="1" applyAlignment="1">
      <alignment vertical="center"/>
    </xf>
    <xf numFmtId="0" fontId="30" fillId="15" borderId="14" xfId="0" applyFont="1" applyFill="1" applyBorder="1" applyAlignment="1">
      <alignment horizontal="center" vertical="center"/>
    </xf>
    <xf numFmtId="10" fontId="18" fillId="15" borderId="12" xfId="0" applyNumberFormat="1" applyFont="1" applyFill="1" applyBorder="1" applyAlignment="1">
      <alignment horizontal="center" vertical="center"/>
    </xf>
    <xf numFmtId="0" fontId="26" fillId="48" borderId="2" xfId="0" applyFont="1" applyFill="1" applyBorder="1" applyAlignment="1">
      <alignment horizontal="center" vertical="center"/>
    </xf>
    <xf numFmtId="164" fontId="26" fillId="48" borderId="2" xfId="0" applyNumberFormat="1" applyFont="1" applyFill="1" applyBorder="1" applyAlignment="1">
      <alignment horizontal="right" vertical="center"/>
    </xf>
    <xf numFmtId="165" fontId="26" fillId="48" borderId="2" xfId="0" applyNumberFormat="1" applyFont="1" applyFill="1" applyBorder="1" applyAlignment="1">
      <alignment horizontal="right" vertical="center"/>
    </xf>
    <xf numFmtId="0" fontId="17" fillId="0" borderId="0" xfId="21" applyFont="1"/>
    <xf numFmtId="0" fontId="42" fillId="0" borderId="0" xfId="21" applyFont="1" applyAlignment="1">
      <alignment horizontal="center" vertical="center"/>
    </xf>
    <xf numFmtId="0" fontId="34" fillId="49" borderId="0" xfId="21" applyFont="1" applyFill="1"/>
    <xf numFmtId="0" fontId="34" fillId="49" borderId="0" xfId="21" applyFont="1" applyFill="1" applyAlignment="1">
      <alignment horizontal="center"/>
    </xf>
    <xf numFmtId="0" fontId="34" fillId="49" borderId="0" xfId="21" applyFont="1" applyFill="1" applyAlignment="1">
      <alignment horizontal="center" vertical="center"/>
    </xf>
    <xf numFmtId="0" fontId="34" fillId="50" borderId="0" xfId="21" applyFont="1" applyFill="1"/>
    <xf numFmtId="0" fontId="34" fillId="50" borderId="0" xfId="21" applyFont="1" applyFill="1" applyAlignment="1">
      <alignment horizontal="center"/>
    </xf>
    <xf numFmtId="0" fontId="17" fillId="4" borderId="0" xfId="21" applyFont="1" applyFill="1"/>
    <xf numFmtId="0" fontId="17" fillId="4" borderId="0" xfId="21" applyFont="1" applyFill="1" applyAlignment="1">
      <alignment horizontal="center"/>
    </xf>
    <xf numFmtId="0" fontId="17" fillId="0" borderId="0" xfId="21" applyFont="1" applyAlignment="1">
      <alignment horizontal="center"/>
    </xf>
    <xf numFmtId="0" fontId="17" fillId="31" borderId="0" xfId="21" applyFont="1" applyFill="1" applyAlignment="1">
      <alignment horizontal="center"/>
    </xf>
    <xf numFmtId="174" fontId="17" fillId="51" borderId="0" xfId="21" applyNumberFormat="1" applyFont="1" applyFill="1" applyAlignment="1">
      <alignment horizontal="center"/>
    </xf>
    <xf numFmtId="0" fontId="17" fillId="51" borderId="0" xfId="21" applyFont="1" applyFill="1" applyAlignment="1">
      <alignment horizontal="center"/>
    </xf>
    <xf numFmtId="0" fontId="17" fillId="34" borderId="0" xfId="21" applyFont="1" applyFill="1" applyAlignment="1">
      <alignment horizontal="center"/>
    </xf>
    <xf numFmtId="4" fontId="17" fillId="31" borderId="0" xfId="21" applyNumberFormat="1" applyFont="1" applyFill="1"/>
    <xf numFmtId="0" fontId="44" fillId="4" borderId="0" xfId="21" applyFont="1" applyFill="1" applyAlignment="1">
      <alignment horizontal="center"/>
    </xf>
    <xf numFmtId="4" fontId="17" fillId="51" borderId="0" xfId="21" applyNumberFormat="1" applyFont="1" applyFill="1"/>
    <xf numFmtId="4" fontId="17" fillId="0" borderId="0" xfId="21" applyNumberFormat="1" applyFont="1"/>
    <xf numFmtId="4" fontId="17" fillId="9" borderId="0" xfId="21" applyNumberFormat="1" applyFont="1" applyFill="1"/>
    <xf numFmtId="10" fontId="17" fillId="0" borderId="0" xfId="21" applyNumberFormat="1" applyFont="1"/>
    <xf numFmtId="4" fontId="17" fillId="50" borderId="0" xfId="21" applyNumberFormat="1" applyFont="1" applyFill="1"/>
    <xf numFmtId="0" fontId="17" fillId="31" borderId="0" xfId="21" applyFont="1" applyFill="1"/>
    <xf numFmtId="0" fontId="58" fillId="4" borderId="0" xfId="21" applyFont="1" applyFill="1" applyAlignment="1">
      <alignment horizontal="center"/>
    </xf>
    <xf numFmtId="0" fontId="58" fillId="0" borderId="0" xfId="21" applyFont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18" fillId="17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wrapText="1"/>
    </xf>
    <xf numFmtId="0" fontId="18" fillId="43" borderId="0" xfId="0" applyFont="1" applyFill="1" applyAlignment="1" applyProtection="1">
      <alignment horizontal="center" vertical="center" wrapText="1"/>
      <protection locked="0"/>
    </xf>
    <xf numFmtId="0" fontId="30" fillId="17" borderId="2" xfId="0" applyFont="1" applyFill="1" applyBorder="1" applyAlignment="1">
      <alignment vertical="center"/>
    </xf>
    <xf numFmtId="0" fontId="17" fillId="11" borderId="12" xfId="0" applyFont="1" applyFill="1" applyBorder="1" applyAlignment="1">
      <alignment vertical="center"/>
    </xf>
    <xf numFmtId="0" fontId="30" fillId="15" borderId="2" xfId="0" applyFont="1" applyFill="1" applyBorder="1" applyAlignment="1">
      <alignment vertical="center"/>
    </xf>
    <xf numFmtId="0" fontId="22" fillId="43" borderId="0" xfId="0" applyFont="1" applyFill="1" applyAlignment="1">
      <alignment horizontal="center" vertical="center" wrapText="1"/>
    </xf>
    <xf numFmtId="0" fontId="60" fillId="43" borderId="0" xfId="0" applyFont="1" applyFill="1" applyAlignment="1">
      <alignment horizontal="center" vertical="center" wrapText="1"/>
    </xf>
    <xf numFmtId="0" fontId="24" fillId="12" borderId="0" xfId="0" applyFont="1" applyFill="1" applyAlignment="1">
      <alignment wrapText="1"/>
    </xf>
    <xf numFmtId="2" fontId="34" fillId="12" borderId="0" xfId="0" applyNumberFormat="1" applyFont="1" applyFill="1" applyAlignment="1">
      <alignment wrapText="1"/>
    </xf>
    <xf numFmtId="2" fontId="57" fillId="0" borderId="0" xfId="0" applyNumberFormat="1" applyFont="1" applyAlignment="1">
      <alignment wrapText="1"/>
    </xf>
    <xf numFmtId="0" fontId="24" fillId="0" borderId="0" xfId="0" applyFont="1" applyAlignment="1">
      <alignment wrapText="1"/>
    </xf>
    <xf numFmtId="2" fontId="24" fillId="0" borderId="0" xfId="0" applyNumberFormat="1" applyFont="1" applyAlignment="1">
      <alignment wrapText="1"/>
    </xf>
    <xf numFmtId="2" fontId="24" fillId="5" borderId="0" xfId="0" applyNumberFormat="1" applyFont="1" applyFill="1" applyAlignment="1">
      <alignment horizontal="center" wrapText="1"/>
    </xf>
    <xf numFmtId="2" fontId="24" fillId="5" borderId="0" xfId="0" applyNumberFormat="1" applyFont="1" applyFill="1" applyAlignment="1">
      <alignment wrapText="1"/>
    </xf>
    <xf numFmtId="2" fontId="24" fillId="9" borderId="0" xfId="0" applyNumberFormat="1" applyFont="1" applyFill="1" applyAlignment="1">
      <alignment horizontal="center" wrapText="1"/>
    </xf>
    <xf numFmtId="0" fontId="24" fillId="11" borderId="0" xfId="0" applyFont="1" applyFill="1" applyAlignment="1">
      <alignment wrapText="1"/>
    </xf>
    <xf numFmtId="0" fontId="61" fillId="11" borderId="0" xfId="0" applyFont="1" applyFill="1" applyBorder="1"/>
    <xf numFmtId="0" fontId="61" fillId="0" borderId="30" xfId="0" applyFont="1" applyBorder="1"/>
    <xf numFmtId="0" fontId="34" fillId="10" borderId="0" xfId="0" applyFont="1" applyFill="1" applyAlignment="1">
      <alignment horizontal="center" vertical="center" wrapText="1"/>
    </xf>
    <xf numFmtId="0" fontId="63" fillId="10" borderId="0" xfId="0" applyFont="1" applyFill="1" applyAlignment="1">
      <alignment horizontal="center" vertical="center" wrapText="1"/>
    </xf>
    <xf numFmtId="2" fontId="57" fillId="17" borderId="0" xfId="0" applyNumberFormat="1" applyFont="1" applyFill="1" applyAlignment="1">
      <alignment wrapText="1"/>
    </xf>
    <xf numFmtId="2" fontId="57" fillId="45" borderId="0" xfId="0" applyNumberFormat="1" applyFont="1" applyFill="1"/>
    <xf numFmtId="2" fontId="57" fillId="26" borderId="0" xfId="0" applyNumberFormat="1" applyFont="1" applyFill="1"/>
    <xf numFmtId="10" fontId="57" fillId="0" borderId="0" xfId="0" applyNumberFormat="1" applyFont="1"/>
    <xf numFmtId="0" fontId="0" fillId="0" borderId="0" xfId="0" applyAlignment="1">
      <alignment horizontal="center"/>
    </xf>
    <xf numFmtId="0" fontId="30" fillId="43" borderId="14" xfId="0" applyFont="1" applyFill="1" applyBorder="1" applyAlignment="1">
      <alignment vertical="center"/>
    </xf>
    <xf numFmtId="0" fontId="30" fillId="43" borderId="4" xfId="0" applyFont="1" applyFill="1" applyBorder="1" applyAlignment="1">
      <alignment vertical="center"/>
    </xf>
    <xf numFmtId="0" fontId="30" fillId="43" borderId="15" xfId="0" applyFont="1" applyFill="1" applyBorder="1" applyAlignment="1">
      <alignment vertical="center"/>
    </xf>
    <xf numFmtId="0" fontId="30" fillId="43" borderId="19" xfId="0" applyFont="1" applyFill="1" applyBorder="1" applyAlignment="1">
      <alignment vertical="center"/>
    </xf>
    <xf numFmtId="0" fontId="30" fillId="43" borderId="6" xfId="0" applyFont="1" applyFill="1" applyBorder="1" applyAlignment="1">
      <alignment vertical="center"/>
    </xf>
    <xf numFmtId="0" fontId="30" fillId="43" borderId="20" xfId="0" applyFont="1" applyFill="1" applyBorder="1" applyAlignment="1">
      <alignment vertical="center"/>
    </xf>
    <xf numFmtId="0" fontId="30" fillId="11" borderId="6" xfId="0" applyFont="1" applyFill="1" applyBorder="1" applyAlignment="1">
      <alignment horizontal="right" vertical="center"/>
    </xf>
    <xf numFmtId="10" fontId="30" fillId="11" borderId="6" xfId="0" applyNumberFormat="1" applyFont="1" applyFill="1" applyBorder="1" applyAlignment="1">
      <alignment horizontal="right" vertical="center"/>
    </xf>
    <xf numFmtId="164" fontId="18" fillId="11" borderId="6" xfId="0" applyNumberFormat="1" applyFont="1" applyFill="1" applyBorder="1" applyAlignment="1">
      <alignment vertical="center"/>
    </xf>
    <xf numFmtId="49" fontId="18" fillId="17" borderId="11" xfId="0" applyNumberFormat="1" applyFont="1" applyFill="1" applyBorder="1" applyAlignment="1">
      <alignment vertical="center"/>
    </xf>
    <xf numFmtId="49" fontId="18" fillId="17" borderId="21" xfId="0" applyNumberFormat="1" applyFont="1" applyFill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17" fillId="0" borderId="32" xfId="0" applyFont="1" applyBorder="1" applyAlignment="1">
      <alignment vertical="center"/>
    </xf>
    <xf numFmtId="0" fontId="17" fillId="0" borderId="33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0" fontId="18" fillId="20" borderId="33" xfId="0" applyFont="1" applyFill="1" applyBorder="1" applyAlignment="1">
      <alignment vertical="center"/>
    </xf>
    <xf numFmtId="0" fontId="18" fillId="20" borderId="34" xfId="0" applyFont="1" applyFill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17" fillId="0" borderId="36" xfId="0" applyFont="1" applyBorder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/>
    </xf>
    <xf numFmtId="39" fontId="65" fillId="52" borderId="37" xfId="28" applyNumberFormat="1" applyFont="1" applyFill="1" applyBorder="1" applyAlignment="1" applyProtection="1">
      <alignment horizontal="center" vertical="center"/>
      <protection locked="0"/>
    </xf>
    <xf numFmtId="44" fontId="6" fillId="0" borderId="0" xfId="26" applyFont="1"/>
    <xf numFmtId="164" fontId="18" fillId="11" borderId="0" xfId="0" applyNumberFormat="1" applyFont="1" applyFill="1" applyBorder="1" applyAlignment="1">
      <alignment vertical="center"/>
    </xf>
    <xf numFmtId="2" fontId="0" fillId="0" borderId="0" xfId="0" applyNumberFormat="1"/>
    <xf numFmtId="14" fontId="66" fillId="53" borderId="38" xfId="0" applyNumberFormat="1" applyFont="1" applyFill="1" applyBorder="1" applyAlignment="1" applyProtection="1">
      <alignment horizontal="center" vertical="center"/>
      <protection locked="0"/>
    </xf>
    <xf numFmtId="14" fontId="66" fillId="53" borderId="37" xfId="0" applyNumberFormat="1" applyFont="1" applyFill="1" applyBorder="1" applyAlignment="1" applyProtection="1">
      <alignment horizontal="center" vertical="center"/>
      <protection locked="0"/>
    </xf>
    <xf numFmtId="2" fontId="66" fillId="55" borderId="0" xfId="0" applyNumberFormat="1" applyFont="1" applyFill="1" applyAlignment="1">
      <alignment wrapText="1"/>
    </xf>
    <xf numFmtId="2" fontId="66" fillId="54" borderId="0" xfId="0" applyNumberFormat="1" applyFont="1" applyFill="1" applyBorder="1"/>
    <xf numFmtId="44" fontId="6" fillId="0" borderId="0" xfId="0" applyNumberFormat="1" applyFont="1"/>
    <xf numFmtId="176" fontId="6" fillId="0" borderId="0" xfId="0" applyNumberFormat="1" applyFont="1"/>
    <xf numFmtId="0" fontId="18" fillId="11" borderId="0" xfId="0" applyFont="1" applyFill="1" applyAlignment="1" applyProtection="1">
      <alignment horizontal="center" vertical="center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0" fontId="18" fillId="11" borderId="0" xfId="0" applyFont="1" applyFill="1" applyAlignment="1" applyProtection="1">
      <alignment horizontal="center" vertical="center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2" fontId="34" fillId="12" borderId="3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6" fillId="9" borderId="0" xfId="0" applyFont="1" applyFill="1" applyAlignment="1">
      <alignment horizontal="center" vertical="center"/>
    </xf>
    <xf numFmtId="0" fontId="38" fillId="12" borderId="0" xfId="0" applyFont="1" applyFill="1" applyAlignment="1">
      <alignment horizontal="center" vertical="center"/>
    </xf>
    <xf numFmtId="0" fontId="18" fillId="17" borderId="21" xfId="0" applyFont="1" applyFill="1" applyBorder="1" applyAlignment="1">
      <alignment horizontal="center" vertical="center"/>
    </xf>
    <xf numFmtId="164" fontId="17" fillId="11" borderId="15" xfId="0" applyNumberFormat="1" applyFont="1" applyFill="1" applyBorder="1" applyAlignment="1">
      <alignment vertical="center"/>
    </xf>
    <xf numFmtId="164" fontId="18" fillId="15" borderId="21" xfId="0" applyNumberFormat="1" applyFont="1" applyFill="1" applyBorder="1" applyAlignment="1">
      <alignment vertical="center"/>
    </xf>
    <xf numFmtId="0" fontId="18" fillId="17" borderId="11" xfId="0" applyFont="1" applyFill="1" applyBorder="1" applyAlignment="1">
      <alignment horizontal="center" vertical="center"/>
    </xf>
    <xf numFmtId="164" fontId="17" fillId="11" borderId="14" xfId="0" applyNumberFormat="1" applyFont="1" applyFill="1" applyBorder="1" applyAlignment="1">
      <alignment vertical="center"/>
    </xf>
    <xf numFmtId="164" fontId="18" fillId="15" borderId="11" xfId="0" applyNumberFormat="1" applyFont="1" applyFill="1" applyBorder="1" applyAlignment="1">
      <alignment vertical="center"/>
    </xf>
    <xf numFmtId="0" fontId="17" fillId="0" borderId="0" xfId="0" applyFont="1" applyAlignment="1">
      <alignment horizontal="left"/>
    </xf>
    <xf numFmtId="0" fontId="18" fillId="43" borderId="12" xfId="0" applyFont="1" applyFill="1" applyBorder="1" applyAlignment="1" applyProtection="1">
      <alignment horizontal="center" vertical="center" wrapText="1"/>
      <protection locked="0"/>
    </xf>
    <xf numFmtId="0" fontId="34" fillId="47" borderId="12" xfId="0" applyFont="1" applyFill="1" applyBorder="1" applyAlignment="1" applyProtection="1">
      <alignment horizontal="center" vertical="center" wrapText="1"/>
      <protection locked="0"/>
    </xf>
    <xf numFmtId="2" fontId="22" fillId="32" borderId="4" xfId="0" applyNumberFormat="1" applyFont="1" applyFill="1" applyBorder="1" applyAlignment="1">
      <alignment vertical="center"/>
    </xf>
    <xf numFmtId="176" fontId="0" fillId="0" borderId="0" xfId="0" applyNumberFormat="1" applyAlignment="1">
      <alignment vertical="center"/>
    </xf>
    <xf numFmtId="2" fontId="24" fillId="34" borderId="5" xfId="0" applyNumberFormat="1" applyFont="1" applyFill="1" applyBorder="1" applyAlignment="1">
      <alignment horizontal="center" vertical="center"/>
    </xf>
    <xf numFmtId="0" fontId="24" fillId="56" borderId="4" xfId="0" applyFont="1" applyFill="1" applyBorder="1" applyAlignment="1">
      <alignment horizontal="center" vertical="center"/>
    </xf>
    <xf numFmtId="0" fontId="24" fillId="56" borderId="4" xfId="0" applyFont="1" applyFill="1" applyBorder="1" applyAlignment="1">
      <alignment vertical="center"/>
    </xf>
    <xf numFmtId="164" fontId="22" fillId="56" borderId="4" xfId="0" applyNumberFormat="1" applyFont="1" applyFill="1" applyBorder="1" applyAlignment="1">
      <alignment vertical="center"/>
    </xf>
    <xf numFmtId="2" fontId="22" fillId="56" borderId="4" xfId="0" applyNumberFormat="1" applyFont="1" applyFill="1" applyBorder="1" applyAlignment="1">
      <alignment vertical="center"/>
    </xf>
    <xf numFmtId="164" fontId="24" fillId="56" borderId="4" xfId="0" applyNumberFormat="1" applyFont="1" applyFill="1" applyBorder="1" applyAlignment="1">
      <alignment horizontal="right" vertical="center"/>
    </xf>
    <xf numFmtId="0" fontId="24" fillId="57" borderId="4" xfId="0" applyFont="1" applyFill="1" applyBorder="1" applyAlignment="1">
      <alignment horizontal="center" vertical="center"/>
    </xf>
    <xf numFmtId="0" fontId="0" fillId="57" borderId="4" xfId="0" applyFill="1" applyBorder="1" applyAlignment="1">
      <alignment vertical="center"/>
    </xf>
    <xf numFmtId="0" fontId="17" fillId="57" borderId="4" xfId="0" applyFont="1" applyFill="1" applyBorder="1" applyAlignment="1">
      <alignment vertical="center"/>
    </xf>
    <xf numFmtId="3" fontId="24" fillId="57" borderId="4" xfId="0" applyNumberFormat="1" applyFont="1" applyFill="1" applyBorder="1" applyAlignment="1">
      <alignment horizontal="center" vertical="center"/>
    </xf>
    <xf numFmtId="4" fontId="24" fillId="57" borderId="4" xfId="0" applyNumberFormat="1" applyFont="1" applyFill="1" applyBorder="1" applyAlignment="1">
      <alignment horizontal="center" vertical="center"/>
    </xf>
    <xf numFmtId="4" fontId="22" fillId="57" borderId="5" xfId="0" applyNumberFormat="1" applyFont="1" applyFill="1" applyBorder="1" applyAlignment="1">
      <alignment horizontal="center" vertical="center"/>
    </xf>
    <xf numFmtId="3" fontId="24" fillId="57" borderId="5" xfId="0" applyNumberFormat="1" applyFont="1" applyFill="1" applyBorder="1" applyAlignment="1">
      <alignment horizontal="center" vertical="center"/>
    </xf>
    <xf numFmtId="4" fontId="24" fillId="57" borderId="5" xfId="0" applyNumberFormat="1" applyFont="1" applyFill="1" applyBorder="1" applyAlignment="1">
      <alignment horizontal="center" vertical="center"/>
    </xf>
    <xf numFmtId="164" fontId="22" fillId="57" borderId="5" xfId="0" applyNumberFormat="1" applyFont="1" applyFill="1" applyBorder="1" applyAlignment="1">
      <alignment horizontal="right" vertical="center"/>
    </xf>
    <xf numFmtId="0" fontId="24" fillId="57" borderId="6" xfId="0" applyFont="1" applyFill="1" applyBorder="1" applyAlignment="1">
      <alignment horizontal="center" vertical="center"/>
    </xf>
    <xf numFmtId="0" fontId="0" fillId="57" borderId="6" xfId="0" applyFill="1" applyBorder="1" applyAlignment="1">
      <alignment vertical="center"/>
    </xf>
    <xf numFmtId="0" fontId="17" fillId="57" borderId="6" xfId="0" applyFont="1" applyFill="1" applyBorder="1" applyAlignment="1">
      <alignment vertical="center"/>
    </xf>
    <xf numFmtId="3" fontId="24" fillId="57" borderId="6" xfId="0" applyNumberFormat="1" applyFont="1" applyFill="1" applyBorder="1" applyAlignment="1">
      <alignment horizontal="center" vertical="center"/>
    </xf>
    <xf numFmtId="0" fontId="22" fillId="57" borderId="5" xfId="0" applyFont="1" applyFill="1" applyBorder="1" applyAlignment="1">
      <alignment horizontal="center" vertical="center"/>
    </xf>
    <xf numFmtId="0" fontId="0" fillId="58" borderId="0" xfId="0" applyFill="1" applyAlignment="1">
      <alignment horizontal="center" vertical="center"/>
    </xf>
    <xf numFmtId="0" fontId="7" fillId="58" borderId="0" xfId="0" applyFont="1" applyFill="1" applyAlignment="1">
      <alignment vertical="center"/>
    </xf>
    <xf numFmtId="0" fontId="24" fillId="58" borderId="0" xfId="0" applyFont="1" applyFill="1"/>
    <xf numFmtId="0" fontId="24" fillId="59" borderId="5" xfId="0" applyFont="1" applyFill="1" applyBorder="1" applyAlignment="1">
      <alignment horizontal="center" vertical="center"/>
    </xf>
    <xf numFmtId="0" fontId="24" fillId="59" borderId="5" xfId="0" applyFont="1" applyFill="1" applyBorder="1" applyAlignment="1">
      <alignment vertical="center"/>
    </xf>
    <xf numFmtId="2" fontId="22" fillId="59" borderId="5" xfId="0" applyNumberFormat="1" applyFont="1" applyFill="1" applyBorder="1" applyAlignment="1">
      <alignment vertical="center"/>
    </xf>
    <xf numFmtId="164" fontId="22" fillId="59" borderId="5" xfId="0" applyNumberFormat="1" applyFont="1" applyFill="1" applyBorder="1" applyAlignment="1">
      <alignment vertical="center"/>
    </xf>
    <xf numFmtId="164" fontId="24" fillId="59" borderId="5" xfId="0" applyNumberFormat="1" applyFont="1" applyFill="1" applyBorder="1" applyAlignment="1">
      <alignment horizontal="right" vertical="center"/>
    </xf>
    <xf numFmtId="0" fontId="24" fillId="60" borderId="0" xfId="0" applyFont="1" applyFill="1" applyAlignment="1">
      <alignment horizontal="center" vertical="center"/>
    </xf>
    <xf numFmtId="0" fontId="7" fillId="60" borderId="0" xfId="0" applyFont="1" applyFill="1" applyAlignment="1">
      <alignment vertical="center"/>
    </xf>
    <xf numFmtId="0" fontId="24" fillId="60" borderId="0" xfId="0" applyFont="1" applyFill="1" applyAlignment="1">
      <alignment vertical="center"/>
    </xf>
    <xf numFmtId="3" fontId="24" fillId="60" borderId="0" xfId="0" applyNumberFormat="1" applyFont="1" applyFill="1" applyAlignment="1">
      <alignment horizontal="center" vertical="center"/>
    </xf>
    <xf numFmtId="0" fontId="22" fillId="60" borderId="6" xfId="0" applyFont="1" applyFill="1" applyBorder="1" applyAlignment="1">
      <alignment horizontal="center" vertical="center"/>
    </xf>
    <xf numFmtId="0" fontId="22" fillId="60" borderId="5" xfId="0" applyFont="1" applyFill="1" applyBorder="1" applyAlignment="1">
      <alignment horizontal="center" vertical="center"/>
    </xf>
    <xf numFmtId="3" fontId="22" fillId="60" borderId="5" xfId="0" applyNumberFormat="1" applyFont="1" applyFill="1" applyBorder="1" applyAlignment="1">
      <alignment horizontal="center" vertical="center"/>
    </xf>
    <xf numFmtId="4" fontId="24" fillId="60" borderId="5" xfId="0" applyNumberFormat="1" applyFont="1" applyFill="1" applyBorder="1" applyAlignment="1">
      <alignment horizontal="center" vertical="center"/>
    </xf>
    <xf numFmtId="164" fontId="22" fillId="60" borderId="5" xfId="0" applyNumberFormat="1" applyFont="1" applyFill="1" applyBorder="1" applyAlignment="1">
      <alignment horizontal="right" vertical="center"/>
    </xf>
    <xf numFmtId="0" fontId="24" fillId="60" borderId="6" xfId="0" applyFont="1" applyFill="1" applyBorder="1" applyAlignment="1">
      <alignment horizontal="center" vertical="center"/>
    </xf>
    <xf numFmtId="0" fontId="0" fillId="60" borderId="6" xfId="0" applyFill="1" applyBorder="1" applyAlignment="1">
      <alignment vertical="center"/>
    </xf>
    <xf numFmtId="0" fontId="17" fillId="60" borderId="6" xfId="0" applyFont="1" applyFill="1" applyBorder="1" applyAlignment="1">
      <alignment vertical="center"/>
    </xf>
    <xf numFmtId="3" fontId="24" fillId="60" borderId="6" xfId="0" applyNumberFormat="1" applyFont="1" applyFill="1" applyBorder="1" applyAlignment="1">
      <alignment horizontal="center" vertical="center"/>
    </xf>
    <xf numFmtId="4" fontId="22" fillId="60" borderId="5" xfId="0" applyNumberFormat="1" applyFont="1" applyFill="1" applyBorder="1" applyAlignment="1">
      <alignment horizontal="center" vertical="center"/>
    </xf>
    <xf numFmtId="0" fontId="67" fillId="32" borderId="4" xfId="0" applyFont="1" applyFill="1" applyBorder="1" applyAlignment="1">
      <alignment vertical="center"/>
    </xf>
    <xf numFmtId="0" fontId="67" fillId="56" borderId="4" xfId="0" applyFont="1" applyFill="1" applyBorder="1" applyAlignment="1">
      <alignment vertical="center"/>
    </xf>
    <xf numFmtId="0" fontId="67" fillId="34" borderId="5" xfId="0" applyFont="1" applyFill="1" applyBorder="1" applyAlignment="1">
      <alignment vertical="center"/>
    </xf>
    <xf numFmtId="0" fontId="67" fillId="59" borderId="5" xfId="0" applyFont="1" applyFill="1" applyBorder="1" applyAlignment="1">
      <alignment vertical="center"/>
    </xf>
    <xf numFmtId="0" fontId="0" fillId="61" borderId="0" xfId="0" applyFill="1" applyAlignment="1">
      <alignment horizontal="center" vertical="center"/>
    </xf>
    <xf numFmtId="0" fontId="7" fillId="61" borderId="0" xfId="0" applyFont="1" applyFill="1" applyAlignment="1">
      <alignment vertical="center"/>
    </xf>
    <xf numFmtId="0" fontId="24" fillId="61" borderId="0" xfId="0" applyFont="1" applyFill="1"/>
    <xf numFmtId="44" fontId="24" fillId="0" borderId="0" xfId="26" applyFont="1"/>
    <xf numFmtId="177" fontId="24" fillId="0" borderId="0" xfId="0" applyNumberFormat="1" applyFont="1"/>
    <xf numFmtId="0" fontId="30" fillId="43" borderId="2" xfId="0" applyFont="1" applyFill="1" applyBorder="1" applyAlignment="1">
      <alignment horizontal="center" vertical="center"/>
    </xf>
    <xf numFmtId="0" fontId="24" fillId="58" borderId="0" xfId="0" applyFont="1" applyFill="1" applyAlignment="1">
      <alignment horizontal="center" wrapText="1"/>
    </xf>
    <xf numFmtId="0" fontId="24" fillId="58" borderId="0" xfId="0" applyFont="1" applyFill="1" applyAlignment="1">
      <alignment vertical="center"/>
    </xf>
    <xf numFmtId="0" fontId="24" fillId="61" borderId="0" xfId="0" applyFont="1" applyFill="1" applyAlignment="1">
      <alignment horizontal="center" wrapText="1"/>
    </xf>
    <xf numFmtId="0" fontId="24" fillId="61" borderId="0" xfId="0" applyFont="1" applyFill="1" applyAlignment="1">
      <alignment wrapText="1"/>
    </xf>
    <xf numFmtId="164" fontId="17" fillId="62" borderId="2" xfId="0" applyNumberFormat="1" applyFont="1" applyFill="1" applyBorder="1" applyAlignment="1">
      <alignment horizontal="center" vertical="center"/>
    </xf>
    <xf numFmtId="164" fontId="21" fillId="62" borderId="2" xfId="0" applyNumberFormat="1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164" fontId="23" fillId="0" borderId="13" xfId="0" applyNumberFormat="1" applyFont="1" applyBorder="1" applyAlignment="1">
      <alignment horizontal="center" vertical="center"/>
    </xf>
    <xf numFmtId="0" fontId="18" fillId="57" borderId="39" xfId="0" applyFont="1" applyFill="1" applyBorder="1" applyAlignment="1">
      <alignment horizontal="center" vertical="center"/>
    </xf>
    <xf numFmtId="0" fontId="18" fillId="57" borderId="39" xfId="0" applyFont="1" applyFill="1" applyBorder="1" applyAlignment="1">
      <alignment horizontal="center" vertical="center" wrapText="1"/>
    </xf>
    <xf numFmtId="44" fontId="67" fillId="59" borderId="39" xfId="26" applyFont="1" applyFill="1" applyBorder="1" applyAlignment="1">
      <alignment vertical="center"/>
    </xf>
    <xf numFmtId="0" fontId="22" fillId="60" borderId="39" xfId="0" applyFont="1" applyFill="1" applyBorder="1" applyAlignment="1">
      <alignment horizontal="center" vertical="center"/>
    </xf>
    <xf numFmtId="0" fontId="22" fillId="60" borderId="39" xfId="0" applyFont="1" applyFill="1" applyBorder="1" applyAlignment="1">
      <alignment horizontal="center" vertical="center" wrapText="1"/>
    </xf>
    <xf numFmtId="164" fontId="18" fillId="13" borderId="2" xfId="0" applyNumberFormat="1" applyFont="1" applyFill="1" applyBorder="1" applyAlignment="1">
      <alignment horizontal="center" vertical="center"/>
    </xf>
    <xf numFmtId="176" fontId="36" fillId="0" borderId="0" xfId="0" applyNumberFormat="1" applyFont="1"/>
    <xf numFmtId="178" fontId="36" fillId="0" borderId="0" xfId="0" applyNumberFormat="1" applyFont="1"/>
    <xf numFmtId="176" fontId="17" fillId="0" borderId="0" xfId="0" applyNumberFormat="1" applyFont="1"/>
    <xf numFmtId="164" fontId="18" fillId="62" borderId="2" xfId="0" applyNumberFormat="1" applyFont="1" applyFill="1" applyBorder="1" applyAlignment="1">
      <alignment horizontal="center" vertical="center"/>
    </xf>
    <xf numFmtId="164" fontId="18" fillId="16" borderId="2" xfId="0" applyNumberFormat="1" applyFont="1" applyFill="1" applyBorder="1" applyAlignment="1">
      <alignment horizontal="center" vertical="center"/>
    </xf>
    <xf numFmtId="164" fontId="67" fillId="59" borderId="39" xfId="26" applyNumberFormat="1" applyFont="1" applyFill="1" applyBorder="1" applyAlignment="1">
      <alignment vertical="center"/>
    </xf>
    <xf numFmtId="0" fontId="22" fillId="37" borderId="0" xfId="9" applyFont="1" applyFill="1" applyBorder="1" applyAlignment="1" applyProtection="1">
      <alignment horizontal="center" vertical="center"/>
    </xf>
    <xf numFmtId="4" fontId="17" fillId="0" borderId="0" xfId="21" applyNumberFormat="1" applyFont="1" applyFill="1"/>
    <xf numFmtId="4" fontId="17" fillId="0" borderId="0" xfId="21" applyNumberFormat="1" applyFont="1" applyFill="1" applyAlignment="1">
      <alignment horizontal="center"/>
    </xf>
    <xf numFmtId="14" fontId="17" fillId="0" borderId="0" xfId="21" applyNumberFormat="1" applyFont="1" applyAlignment="1">
      <alignment horizontal="center"/>
    </xf>
    <xf numFmtId="0" fontId="68" fillId="2" borderId="0" xfId="0" applyFont="1" applyFill="1" applyAlignment="1">
      <alignment vertical="center"/>
    </xf>
    <xf numFmtId="0" fontId="69" fillId="3" borderId="0" xfId="0" applyFont="1" applyFill="1" applyAlignment="1">
      <alignment vertical="center"/>
    </xf>
    <xf numFmtId="0" fontId="69" fillId="31" borderId="0" xfId="0" applyFont="1" applyFill="1" applyAlignment="1">
      <alignment vertical="center"/>
    </xf>
    <xf numFmtId="0" fontId="69" fillId="0" borderId="0" xfId="0" applyFont="1" applyAlignment="1">
      <alignment vertical="center"/>
    </xf>
    <xf numFmtId="0" fontId="69" fillId="4" borderId="0" xfId="0" applyFont="1" applyFill="1" applyAlignment="1">
      <alignment vertical="center"/>
    </xf>
    <xf numFmtId="0" fontId="18" fillId="43" borderId="2" xfId="0" applyFont="1" applyFill="1" applyBorder="1" applyAlignment="1">
      <alignment horizontal="center" vertical="center" wrapText="1"/>
    </xf>
    <xf numFmtId="0" fontId="18" fillId="43" borderId="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>
      <alignment horizontal="left" vertical="center" indent="1"/>
    </xf>
    <xf numFmtId="166" fontId="17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Fill="1" applyBorder="1" applyAlignment="1" applyProtection="1">
      <alignment horizontal="center" vertical="center" wrapText="1"/>
    </xf>
    <xf numFmtId="166" fontId="17" fillId="0" borderId="2" xfId="8" applyNumberFormat="1" applyFont="1" applyFill="1" applyBorder="1" applyAlignment="1" applyProtection="1">
      <alignment horizontal="center" vertical="center" wrapText="1"/>
    </xf>
    <xf numFmtId="0" fontId="18" fillId="46" borderId="2" xfId="0" applyFont="1" applyFill="1" applyBorder="1" applyAlignment="1">
      <alignment horizontal="left" vertical="center" indent="1"/>
    </xf>
    <xf numFmtId="166" fontId="17" fillId="46" borderId="2" xfId="8" applyNumberFormat="1" applyFont="1" applyFill="1" applyBorder="1" applyAlignment="1" applyProtection="1">
      <alignment horizontal="center" vertical="center" wrapText="1"/>
      <protection locked="0"/>
    </xf>
    <xf numFmtId="0" fontId="17" fillId="46" borderId="2" xfId="0" applyFont="1" applyFill="1" applyBorder="1" applyAlignment="1" applyProtection="1">
      <alignment horizontal="center" vertical="center" wrapText="1"/>
    </xf>
    <xf numFmtId="166" fontId="17" fillId="46" borderId="2" xfId="8" applyNumberFormat="1" applyFont="1" applyFill="1" applyBorder="1" applyAlignment="1" applyProtection="1">
      <alignment horizontal="center" vertical="center" wrapText="1"/>
    </xf>
    <xf numFmtId="166" fontId="34" fillId="48" borderId="2" xfId="8" applyNumberFormat="1" applyFont="1" applyFill="1" applyBorder="1" applyAlignment="1" applyProtection="1">
      <alignment horizontal="center" vertical="center" wrapText="1"/>
    </xf>
    <xf numFmtId="0" fontId="17" fillId="11" borderId="0" xfId="0" applyFont="1" applyFill="1" applyBorder="1"/>
    <xf numFmtId="0" fontId="17" fillId="0" borderId="2" xfId="0" applyFont="1" applyFill="1" applyBorder="1" applyAlignment="1">
      <alignment horizontal="center" vertical="center"/>
    </xf>
    <xf numFmtId="0" fontId="34" fillId="10" borderId="0" xfId="21" applyFont="1" applyFill="1" applyAlignment="1">
      <alignment vertical="center"/>
    </xf>
    <xf numFmtId="0" fontId="34" fillId="3" borderId="0" xfId="21" applyFont="1" applyFill="1" applyAlignment="1">
      <alignment horizontal="center"/>
    </xf>
    <xf numFmtId="2" fontId="17" fillId="4" borderId="0" xfId="21" applyNumberFormat="1" applyFont="1" applyFill="1"/>
    <xf numFmtId="2" fontId="17" fillId="0" borderId="0" xfId="21" applyNumberFormat="1" applyFont="1"/>
    <xf numFmtId="2" fontId="18" fillId="50" borderId="0" xfId="21" applyNumberFormat="1" applyFont="1" applyFill="1"/>
    <xf numFmtId="0" fontId="24" fillId="0" borderId="13" xfId="0" applyFont="1" applyBorder="1" applyAlignment="1">
      <alignment horizontal="justify" vertical="center" wrapText="1"/>
    </xf>
    <xf numFmtId="0" fontId="21" fillId="16" borderId="2" xfId="0" applyFont="1" applyFill="1" applyBorder="1" applyAlignment="1">
      <alignment horizontal="left" vertical="center"/>
    </xf>
    <xf numFmtId="0" fontId="19" fillId="13" borderId="11" xfId="0" applyFont="1" applyFill="1" applyBorder="1" applyAlignment="1">
      <alignment horizontal="left" vertical="center" wrapText="1"/>
    </xf>
    <xf numFmtId="0" fontId="19" fillId="13" borderId="5" xfId="0" applyFont="1" applyFill="1" applyBorder="1" applyAlignment="1">
      <alignment horizontal="left" vertical="center" wrapText="1"/>
    </xf>
    <xf numFmtId="0" fontId="19" fillId="13" borderId="21" xfId="0" applyFont="1" applyFill="1" applyBorder="1" applyAlignment="1">
      <alignment horizontal="left" vertical="center" wrapText="1"/>
    </xf>
    <xf numFmtId="0" fontId="22" fillId="5" borderId="15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1" fillId="13" borderId="11" xfId="0" applyFont="1" applyFill="1" applyBorder="1" applyAlignment="1">
      <alignment horizontal="left" vertical="center"/>
    </xf>
    <xf numFmtId="0" fontId="21" fillId="13" borderId="5" xfId="0" applyFont="1" applyFill="1" applyBorder="1" applyAlignment="1">
      <alignment horizontal="left" vertical="center"/>
    </xf>
    <xf numFmtId="0" fontId="21" fillId="13" borderId="21" xfId="0" applyFont="1" applyFill="1" applyBorder="1" applyAlignment="1">
      <alignment horizontal="left" vertical="center"/>
    </xf>
    <xf numFmtId="0" fontId="16" fillId="12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0" fillId="0" borderId="2" xfId="0" applyFont="1" applyFill="1" applyBorder="1" applyAlignment="1">
      <alignment horizontal="justify" vertical="center" wrapText="1"/>
    </xf>
    <xf numFmtId="0" fontId="16" fillId="10" borderId="2" xfId="0" applyFont="1" applyFill="1" applyBorder="1" applyAlignment="1" applyProtection="1">
      <alignment horizontal="center" vertical="center"/>
      <protection locked="0"/>
    </xf>
    <xf numFmtId="0" fontId="18" fillId="11" borderId="0" xfId="0" applyFont="1" applyFill="1" applyBorder="1" applyAlignment="1" applyProtection="1">
      <alignment horizontal="center" vertical="center"/>
      <protection locked="0"/>
    </xf>
    <xf numFmtId="0" fontId="29" fillId="17" borderId="2" xfId="0" applyFont="1" applyFill="1" applyBorder="1" applyAlignment="1">
      <alignment horizontal="justify" vertical="center" wrapText="1"/>
    </xf>
    <xf numFmtId="0" fontId="67" fillId="59" borderId="4" xfId="0" applyFont="1" applyFill="1" applyBorder="1" applyAlignment="1">
      <alignment horizontal="left" vertical="center"/>
    </xf>
    <xf numFmtId="0" fontId="22" fillId="60" borderId="43" xfId="0" applyFont="1" applyFill="1" applyBorder="1" applyAlignment="1">
      <alignment horizontal="center" vertical="center"/>
    </xf>
    <xf numFmtId="0" fontId="22" fillId="60" borderId="44" xfId="0" applyFont="1" applyFill="1" applyBorder="1" applyAlignment="1">
      <alignment horizontal="center" vertical="center"/>
    </xf>
    <xf numFmtId="0" fontId="22" fillId="60" borderId="45" xfId="0" applyFont="1" applyFill="1" applyBorder="1" applyAlignment="1">
      <alignment horizontal="center" vertical="center"/>
    </xf>
    <xf numFmtId="0" fontId="67" fillId="59" borderId="5" xfId="0" applyFont="1" applyFill="1" applyBorder="1" applyAlignment="1">
      <alignment horizontal="left" vertical="center"/>
    </xf>
    <xf numFmtId="3" fontId="26" fillId="12" borderId="3" xfId="0" applyNumberFormat="1" applyFont="1" applyFill="1" applyBorder="1" applyAlignment="1">
      <alignment horizontal="left" vertical="center"/>
    </xf>
    <xf numFmtId="0" fontId="28" fillId="17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justify" vertical="center" wrapText="1"/>
    </xf>
    <xf numFmtId="0" fontId="27" fillId="4" borderId="2" xfId="0" applyFont="1" applyFill="1" applyBorder="1" applyAlignment="1">
      <alignment horizontal="left" vertical="center"/>
    </xf>
    <xf numFmtId="0" fontId="27" fillId="17" borderId="2" xfId="0" applyFont="1" applyFill="1" applyBorder="1" applyAlignment="1">
      <alignment horizontal="justify" vertical="center" wrapText="1"/>
    </xf>
    <xf numFmtId="0" fontId="30" fillId="17" borderId="2" xfId="0" applyFont="1" applyFill="1" applyBorder="1" applyAlignment="1">
      <alignment horizontal="justify" vertical="center" wrapText="1"/>
    </xf>
    <xf numFmtId="0" fontId="27" fillId="0" borderId="4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28" fillId="17" borderId="2" xfId="0" applyFont="1" applyFill="1" applyBorder="1" applyAlignment="1">
      <alignment horizontal="center" vertical="center"/>
    </xf>
    <xf numFmtId="0" fontId="28" fillId="17" borderId="2" xfId="0" applyFont="1" applyFill="1" applyBorder="1" applyAlignment="1">
      <alignment horizontal="left" vertical="center"/>
    </xf>
    <xf numFmtId="0" fontId="19" fillId="16" borderId="11" xfId="0" applyFont="1" applyFill="1" applyBorder="1" applyAlignment="1">
      <alignment horizontal="left" vertical="center"/>
    </xf>
    <xf numFmtId="0" fontId="19" fillId="16" borderId="5" xfId="0" applyFont="1" applyFill="1" applyBorder="1" applyAlignment="1">
      <alignment horizontal="left" vertical="center"/>
    </xf>
    <xf numFmtId="0" fontId="19" fillId="16" borderId="21" xfId="0" applyFont="1" applyFill="1" applyBorder="1" applyAlignment="1">
      <alignment horizontal="left" vertical="center"/>
    </xf>
    <xf numFmtId="0" fontId="22" fillId="9" borderId="12" xfId="0" applyFont="1" applyFill="1" applyBorder="1" applyAlignment="1">
      <alignment horizontal="center" vertical="center" wrapText="1"/>
    </xf>
    <xf numFmtId="0" fontId="22" fillId="9" borderId="18" xfId="0" applyFont="1" applyFill="1" applyBorder="1" applyAlignment="1">
      <alignment horizontal="center" vertical="center" wrapText="1"/>
    </xf>
    <xf numFmtId="0" fontId="22" fillId="9" borderId="13" xfId="0" applyFont="1" applyFill="1" applyBorder="1" applyAlignment="1">
      <alignment horizontal="center" vertical="center" wrapText="1"/>
    </xf>
    <xf numFmtId="0" fontId="21" fillId="16" borderId="11" xfId="0" applyFont="1" applyFill="1" applyBorder="1" applyAlignment="1">
      <alignment horizontal="left" vertical="center"/>
    </xf>
    <xf numFmtId="0" fontId="21" fillId="16" borderId="5" xfId="0" applyFont="1" applyFill="1" applyBorder="1" applyAlignment="1">
      <alignment horizontal="left" vertical="center"/>
    </xf>
    <xf numFmtId="0" fontId="21" fillId="16" borderId="21" xfId="0" applyFont="1" applyFill="1" applyBorder="1" applyAlignment="1">
      <alignment horizontal="left" vertical="center"/>
    </xf>
    <xf numFmtId="0" fontId="67" fillId="56" borderId="4" xfId="0" applyFont="1" applyFill="1" applyBorder="1" applyAlignment="1">
      <alignment horizontal="left" vertical="center"/>
    </xf>
    <xf numFmtId="0" fontId="22" fillId="56" borderId="5" xfId="0" applyFont="1" applyFill="1" applyBorder="1" applyAlignment="1">
      <alignment horizontal="left" vertical="center"/>
    </xf>
    <xf numFmtId="0" fontId="18" fillId="57" borderId="40" xfId="0" applyFont="1" applyFill="1" applyBorder="1" applyAlignment="1">
      <alignment horizontal="center" vertical="center"/>
    </xf>
    <xf numFmtId="0" fontId="18" fillId="57" borderId="41" xfId="0" applyFont="1" applyFill="1" applyBorder="1" applyAlignment="1">
      <alignment horizontal="center" vertical="center"/>
    </xf>
    <xf numFmtId="0" fontId="18" fillId="57" borderId="42" xfId="0" applyFont="1" applyFill="1" applyBorder="1" applyAlignment="1">
      <alignment horizontal="center" vertical="center"/>
    </xf>
    <xf numFmtId="0" fontId="16" fillId="10" borderId="11" xfId="0" applyFont="1" applyFill="1" applyBorder="1" applyAlignment="1" applyProtection="1">
      <alignment horizontal="center" vertical="center"/>
      <protection locked="0"/>
    </xf>
    <xf numFmtId="0" fontId="16" fillId="10" borderId="5" xfId="0" applyFont="1" applyFill="1" applyBorder="1" applyAlignment="1" applyProtection="1">
      <alignment horizontal="center" vertical="center"/>
      <protection locked="0"/>
    </xf>
    <xf numFmtId="0" fontId="16" fillId="10" borderId="21" xfId="0" applyFont="1" applyFill="1" applyBorder="1" applyAlignment="1" applyProtection="1">
      <alignment horizontal="center" vertical="center"/>
      <protection locked="0"/>
    </xf>
    <xf numFmtId="0" fontId="18" fillId="11" borderId="4" xfId="0" applyFont="1" applyFill="1" applyBorder="1" applyAlignment="1" applyProtection="1">
      <alignment horizontal="center" vertical="center"/>
      <protection locked="0"/>
    </xf>
    <xf numFmtId="0" fontId="18" fillId="11" borderId="6" xfId="0" applyFont="1" applyFill="1" applyBorder="1" applyAlignment="1" applyProtection="1">
      <alignment horizontal="center" vertical="center"/>
      <protection locked="0"/>
    </xf>
    <xf numFmtId="0" fontId="16" fillId="12" borderId="11" xfId="0" applyFont="1" applyFill="1" applyBorder="1" applyAlignment="1">
      <alignment horizontal="center" vertical="center" wrapText="1"/>
    </xf>
    <xf numFmtId="0" fontId="16" fillId="12" borderId="5" xfId="0" applyFont="1" applyFill="1" applyBorder="1" applyAlignment="1">
      <alignment horizontal="center" vertical="center" wrapText="1"/>
    </xf>
    <xf numFmtId="0" fontId="16" fillId="12" borderId="21" xfId="0" applyFont="1" applyFill="1" applyBorder="1" applyAlignment="1">
      <alignment horizontal="center" vertical="center" wrapText="1"/>
    </xf>
    <xf numFmtId="0" fontId="22" fillId="19" borderId="0" xfId="0" applyFont="1" applyFill="1" applyBorder="1" applyAlignment="1">
      <alignment horizontal="center" vertical="center"/>
    </xf>
    <xf numFmtId="0" fontId="22" fillId="23" borderId="0" xfId="0" applyFont="1" applyFill="1" applyBorder="1" applyAlignment="1">
      <alignment horizontal="center" vertical="center"/>
    </xf>
    <xf numFmtId="0" fontId="22" fillId="15" borderId="0" xfId="0" applyFont="1" applyFill="1" applyBorder="1" applyAlignment="1">
      <alignment horizontal="center" vertical="center"/>
    </xf>
    <xf numFmtId="0" fontId="22" fillId="19" borderId="0" xfId="0" applyFont="1" applyFill="1" applyBorder="1" applyAlignment="1">
      <alignment horizontal="center" vertical="center" wrapText="1"/>
    </xf>
    <xf numFmtId="0" fontId="22" fillId="20" borderId="0" xfId="0" applyFont="1" applyFill="1" applyBorder="1" applyAlignment="1">
      <alignment horizontal="center" vertical="center" wrapText="1"/>
    </xf>
    <xf numFmtId="0" fontId="22" fillId="9" borderId="0" xfId="0" applyFont="1" applyFill="1" applyBorder="1" applyAlignment="1">
      <alignment horizontal="center" vertical="center"/>
    </xf>
    <xf numFmtId="0" fontId="22" fillId="22" borderId="0" xfId="0" applyFont="1" applyFill="1" applyBorder="1" applyAlignment="1">
      <alignment horizontal="center" vertical="center"/>
    </xf>
    <xf numFmtId="0" fontId="22" fillId="21" borderId="0" xfId="0" applyFont="1" applyFill="1" applyBorder="1" applyAlignment="1">
      <alignment horizontal="center" vertical="center" wrapText="1"/>
    </xf>
    <xf numFmtId="0" fontId="0" fillId="11" borderId="0" xfId="0" applyFill="1" applyBorder="1"/>
    <xf numFmtId="0" fontId="22" fillId="18" borderId="4" xfId="0" applyFont="1" applyFill="1" applyBorder="1" applyAlignment="1">
      <alignment horizontal="center" vertical="center" wrapText="1"/>
    </xf>
    <xf numFmtId="0" fontId="18" fillId="11" borderId="0" xfId="0" applyFont="1" applyFill="1" applyAlignment="1" applyProtection="1">
      <alignment horizontal="center" vertical="center"/>
      <protection locked="0"/>
    </xf>
    <xf numFmtId="0" fontId="22" fillId="36" borderId="0" xfId="9" applyFont="1" applyFill="1" applyBorder="1" applyAlignment="1" applyProtection="1">
      <alignment horizontal="center" vertical="center"/>
    </xf>
    <xf numFmtId="0" fontId="22" fillId="38" borderId="0" xfId="9" applyFont="1" applyFill="1" applyBorder="1" applyAlignment="1" applyProtection="1">
      <alignment horizontal="center" vertical="center"/>
    </xf>
    <xf numFmtId="0" fontId="22" fillId="33" borderId="0" xfId="9" applyFont="1" applyFill="1" applyBorder="1" applyAlignment="1" applyProtection="1">
      <alignment horizontal="center" vertical="center"/>
    </xf>
    <xf numFmtId="0" fontId="46" fillId="26" borderId="2" xfId="0" applyFont="1" applyFill="1" applyBorder="1" applyAlignment="1" applyProtection="1">
      <alignment horizontal="left" vertical="center" wrapText="1"/>
      <protection locked="0"/>
    </xf>
    <xf numFmtId="0" fontId="42" fillId="10" borderId="2" xfId="0" applyFont="1" applyFill="1" applyBorder="1" applyAlignment="1" applyProtection="1">
      <alignment horizontal="center" vertical="center"/>
      <protection locked="0"/>
    </xf>
    <xf numFmtId="0" fontId="16" fillId="10" borderId="6" xfId="0" applyFont="1" applyFill="1" applyBorder="1" applyAlignment="1" applyProtection="1">
      <alignment horizontal="center" vertical="center"/>
      <protection locked="0"/>
    </xf>
    <xf numFmtId="0" fontId="18" fillId="0" borderId="14" xfId="0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horizontal="center" vertical="center"/>
      <protection locked="0"/>
    </xf>
    <xf numFmtId="0" fontId="18" fillId="0" borderId="15" xfId="0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center" vertical="center"/>
      <protection locked="0"/>
    </xf>
    <xf numFmtId="0" fontId="18" fillId="0" borderId="20" xfId="0" applyFont="1" applyFill="1" applyBorder="1" applyAlignment="1" applyProtection="1">
      <alignment horizontal="center" vertical="center"/>
      <protection locked="0"/>
    </xf>
    <xf numFmtId="0" fontId="18" fillId="11" borderId="2" xfId="0" applyFont="1" applyFill="1" applyBorder="1" applyAlignment="1" applyProtection="1">
      <alignment horizontal="left" vertical="center" wrapText="1"/>
      <protection locked="0"/>
    </xf>
    <xf numFmtId="0" fontId="18" fillId="43" borderId="11" xfId="0" applyFont="1" applyFill="1" applyBorder="1" applyAlignment="1" applyProtection="1">
      <alignment horizontal="center" vertical="center" wrapText="1"/>
      <protection locked="0"/>
    </xf>
    <xf numFmtId="0" fontId="42" fillId="47" borderId="2" xfId="0" applyFont="1" applyFill="1" applyBorder="1" applyAlignment="1" applyProtection="1">
      <alignment horizontal="center" vertical="center" wrapText="1"/>
      <protection locked="0"/>
    </xf>
    <xf numFmtId="0" fontId="18" fillId="42" borderId="18" xfId="0" applyFont="1" applyFill="1" applyBorder="1" applyAlignment="1" applyProtection="1">
      <alignment horizontal="left" vertical="center" wrapText="1"/>
      <protection locked="0"/>
    </xf>
    <xf numFmtId="0" fontId="0" fillId="42" borderId="2" xfId="0" applyFill="1" applyBorder="1" applyAlignment="1">
      <alignment horizontal="justify" vertical="center" wrapText="1"/>
    </xf>
    <xf numFmtId="0" fontId="18" fillId="11" borderId="2" xfId="0" applyFont="1" applyFill="1" applyBorder="1" applyAlignment="1" applyProtection="1">
      <alignment horizontal="center" vertical="center" wrapText="1"/>
      <protection locked="0"/>
    </xf>
    <xf numFmtId="0" fontId="34" fillId="47" borderId="2" xfId="0" applyFont="1" applyFill="1" applyBorder="1" applyAlignment="1" applyProtection="1">
      <alignment horizontal="center" vertical="center" wrapText="1"/>
      <protection locked="0"/>
    </xf>
    <xf numFmtId="0" fontId="34" fillId="47" borderId="12" xfId="0" applyFont="1" applyFill="1" applyBorder="1" applyAlignment="1" applyProtection="1">
      <alignment horizontal="center" vertical="center" wrapText="1"/>
      <protection locked="0"/>
    </xf>
    <xf numFmtId="0" fontId="34" fillId="47" borderId="13" xfId="0" applyFont="1" applyFill="1" applyBorder="1" applyAlignment="1" applyProtection="1">
      <alignment horizontal="center" vertical="center" wrapText="1"/>
      <protection locked="0"/>
    </xf>
    <xf numFmtId="0" fontId="16" fillId="10" borderId="0" xfId="0" applyFont="1" applyFill="1" applyBorder="1" applyAlignment="1" applyProtection="1">
      <alignment horizontal="center" vertical="center"/>
      <protection locked="0"/>
    </xf>
    <xf numFmtId="0" fontId="18" fillId="0" borderId="12" xfId="0" applyFont="1" applyFill="1" applyBorder="1" applyAlignment="1" applyProtection="1">
      <alignment horizontal="center" vertical="center"/>
      <protection locked="0"/>
    </xf>
    <xf numFmtId="0" fontId="18" fillId="0" borderId="13" xfId="0" applyFont="1" applyFill="1" applyBorder="1" applyAlignment="1" applyProtection="1">
      <alignment horizontal="center" vertical="center"/>
      <protection locked="0"/>
    </xf>
    <xf numFmtId="0" fontId="18" fillId="43" borderId="0" xfId="0" applyFont="1" applyFill="1" applyBorder="1" applyAlignment="1" applyProtection="1">
      <alignment horizontal="center" vertical="center"/>
      <protection locked="0"/>
    </xf>
    <xf numFmtId="0" fontId="30" fillId="43" borderId="2" xfId="0" applyFont="1" applyFill="1" applyBorder="1" applyAlignment="1">
      <alignment horizontal="center" vertical="center"/>
    </xf>
    <xf numFmtId="0" fontId="0" fillId="42" borderId="11" xfId="0" applyFill="1" applyBorder="1" applyAlignment="1">
      <alignment horizontal="center" vertical="center" wrapText="1"/>
    </xf>
    <xf numFmtId="0" fontId="0" fillId="42" borderId="5" xfId="0" applyFill="1" applyBorder="1" applyAlignment="1">
      <alignment horizontal="center" vertical="center" wrapText="1"/>
    </xf>
    <xf numFmtId="0" fontId="0" fillId="42" borderId="21" xfId="0" applyFill="1" applyBorder="1" applyAlignment="1">
      <alignment horizontal="center" vertical="center" wrapText="1"/>
    </xf>
    <xf numFmtId="0" fontId="18" fillId="15" borderId="2" xfId="0" applyFont="1" applyFill="1" applyBorder="1" applyAlignment="1">
      <alignment horizontal="center" vertical="center"/>
    </xf>
    <xf numFmtId="0" fontId="18" fillId="42" borderId="2" xfId="0" applyFont="1" applyFill="1" applyBorder="1" applyAlignment="1" applyProtection="1">
      <alignment horizontal="center" vertical="center" wrapText="1"/>
      <protection locked="0"/>
    </xf>
    <xf numFmtId="0" fontId="26" fillId="10" borderId="2" xfId="0" applyFont="1" applyFill="1" applyBorder="1" applyAlignment="1">
      <alignment horizontal="center" vertical="center"/>
    </xf>
    <xf numFmtId="164" fontId="57" fillId="11" borderId="12" xfId="0" applyNumberFormat="1" applyFont="1" applyFill="1" applyBorder="1" applyAlignment="1">
      <alignment horizontal="center" vertical="center"/>
    </xf>
    <xf numFmtId="164" fontId="57" fillId="11" borderId="18" xfId="0" applyNumberFormat="1" applyFont="1" applyFill="1" applyBorder="1" applyAlignment="1">
      <alignment horizontal="center" vertical="center"/>
    </xf>
    <xf numFmtId="164" fontId="57" fillId="11" borderId="13" xfId="0" applyNumberFormat="1" applyFont="1" applyFill="1" applyBorder="1" applyAlignment="1">
      <alignment horizontal="center" vertical="center"/>
    </xf>
    <xf numFmtId="0" fontId="42" fillId="10" borderId="11" xfId="0" applyFont="1" applyFill="1" applyBorder="1" applyAlignment="1" applyProtection="1">
      <alignment horizontal="center" vertical="center"/>
      <protection locked="0"/>
    </xf>
    <xf numFmtId="0" fontId="42" fillId="10" borderId="5" xfId="0" applyFont="1" applyFill="1" applyBorder="1" applyAlignment="1" applyProtection="1">
      <alignment horizontal="center" vertical="center"/>
      <protection locked="0"/>
    </xf>
    <xf numFmtId="0" fontId="42" fillId="10" borderId="21" xfId="0" applyFont="1" applyFill="1" applyBorder="1" applyAlignment="1" applyProtection="1">
      <alignment horizontal="center" vertical="center"/>
      <protection locked="0"/>
    </xf>
    <xf numFmtId="0" fontId="18" fillId="0" borderId="2" xfId="0" applyFont="1" applyFill="1" applyBorder="1" applyAlignment="1" applyProtection="1">
      <alignment horizontal="left" vertical="center" wrapText="1"/>
      <protection locked="0"/>
    </xf>
    <xf numFmtId="0" fontId="30" fillId="43" borderId="11" xfId="0" applyFont="1" applyFill="1" applyBorder="1" applyAlignment="1">
      <alignment horizontal="center" vertical="center"/>
    </xf>
    <xf numFmtId="0" fontId="30" fillId="43" borderId="21" xfId="0" applyFont="1" applyFill="1" applyBorder="1" applyAlignment="1">
      <alignment horizontal="center" vertical="center"/>
    </xf>
    <xf numFmtId="0" fontId="17" fillId="42" borderId="2" xfId="0" applyFont="1" applyFill="1" applyBorder="1" applyAlignment="1">
      <alignment horizontal="left" vertical="center" wrapText="1"/>
    </xf>
    <xf numFmtId="0" fontId="26" fillId="48" borderId="2" xfId="0" applyFont="1" applyFill="1" applyBorder="1" applyAlignment="1">
      <alignment horizontal="center" vertical="center"/>
    </xf>
    <xf numFmtId="0" fontId="34" fillId="49" borderId="0" xfId="21" applyFont="1" applyFill="1" applyAlignment="1">
      <alignment horizontal="left"/>
    </xf>
    <xf numFmtId="0" fontId="42" fillId="10" borderId="2" xfId="21" applyFont="1" applyFill="1" applyBorder="1" applyAlignment="1">
      <alignment horizontal="center" vertical="center"/>
    </xf>
    <xf numFmtId="0" fontId="16" fillId="10" borderId="2" xfId="21" applyFont="1" applyFill="1" applyBorder="1" applyAlignment="1" applyProtection="1">
      <alignment horizontal="center" vertical="center"/>
      <protection locked="0"/>
    </xf>
    <xf numFmtId="0" fontId="18" fillId="11" borderId="0" xfId="21" applyFont="1" applyFill="1" applyBorder="1" applyAlignment="1" applyProtection="1">
      <alignment horizontal="center" vertical="center"/>
      <protection locked="0"/>
    </xf>
    <xf numFmtId="0" fontId="16" fillId="12" borderId="2" xfId="21" applyFont="1" applyFill="1" applyBorder="1" applyAlignment="1">
      <alignment horizontal="center" vertical="center" wrapText="1"/>
    </xf>
    <xf numFmtId="0" fontId="17" fillId="42" borderId="0" xfId="0" applyFont="1" applyFill="1" applyBorder="1" applyAlignment="1">
      <alignment horizontal="justify" vertical="center" wrapText="1"/>
    </xf>
    <xf numFmtId="0" fontId="34" fillId="48" borderId="2" xfId="0" applyFont="1" applyFill="1" applyBorder="1" applyAlignment="1">
      <alignment horizontal="center" vertical="center"/>
    </xf>
    <xf numFmtId="0" fontId="34" fillId="48" borderId="11" xfId="0" applyFont="1" applyFill="1" applyBorder="1" applyAlignment="1">
      <alignment horizontal="right" vertical="center"/>
    </xf>
    <xf numFmtId="0" fontId="34" fillId="48" borderId="5" xfId="0" applyFont="1" applyFill="1" applyBorder="1" applyAlignment="1">
      <alignment horizontal="right" vertical="center"/>
    </xf>
    <xf numFmtId="0" fontId="34" fillId="48" borderId="21" xfId="0" applyFont="1" applyFill="1" applyBorder="1" applyAlignment="1">
      <alignment horizontal="right" vertical="center"/>
    </xf>
    <xf numFmtId="0" fontId="34" fillId="3" borderId="4" xfId="21" applyFont="1" applyFill="1" applyBorder="1" applyAlignment="1">
      <alignment horizontal="center" vertical="center"/>
    </xf>
    <xf numFmtId="0" fontId="34" fillId="3" borderId="0" xfId="21" applyFont="1" applyFill="1" applyBorder="1" applyAlignment="1">
      <alignment horizontal="center" vertical="center"/>
    </xf>
    <xf numFmtId="0" fontId="34" fillId="3" borderId="4" xfId="21" applyFont="1" applyFill="1" applyBorder="1" applyAlignment="1">
      <alignment horizontal="center"/>
    </xf>
    <xf numFmtId="0" fontId="34" fillId="3" borderId="0" xfId="21" applyFont="1" applyFill="1" applyBorder="1" applyAlignment="1">
      <alignment horizontal="center"/>
    </xf>
    <xf numFmtId="0" fontId="34" fillId="48" borderId="2" xfId="0" applyFont="1" applyFill="1" applyBorder="1" applyAlignment="1">
      <alignment horizontal="right" vertical="center"/>
    </xf>
    <xf numFmtId="0" fontId="18" fillId="15" borderId="11" xfId="0" applyFont="1" applyFill="1" applyBorder="1" applyAlignment="1">
      <alignment horizontal="center" vertical="center" wrapText="1"/>
    </xf>
    <xf numFmtId="0" fontId="30" fillId="15" borderId="11" xfId="0" applyFont="1" applyFill="1" applyBorder="1" applyAlignment="1">
      <alignment horizontal="center" vertical="center"/>
    </xf>
    <xf numFmtId="0" fontId="30" fillId="15" borderId="5" xfId="0" applyFont="1" applyFill="1" applyBorder="1" applyAlignment="1">
      <alignment horizontal="center" vertical="center"/>
    </xf>
    <xf numFmtId="0" fontId="30" fillId="15" borderId="21" xfId="0" applyFont="1" applyFill="1" applyBorder="1" applyAlignment="1">
      <alignment horizontal="center" vertical="center"/>
    </xf>
    <xf numFmtId="0" fontId="30" fillId="17" borderId="11" xfId="0" applyFont="1" applyFill="1" applyBorder="1" applyAlignment="1">
      <alignment horizontal="center" vertical="center"/>
    </xf>
    <xf numFmtId="0" fontId="30" fillId="17" borderId="5" xfId="0" applyFont="1" applyFill="1" applyBorder="1" applyAlignment="1">
      <alignment horizontal="center" vertical="center"/>
    </xf>
    <xf numFmtId="0" fontId="30" fillId="17" borderId="21" xfId="0" applyFont="1" applyFill="1" applyBorder="1" applyAlignment="1">
      <alignment horizontal="center" vertical="center"/>
    </xf>
    <xf numFmtId="0" fontId="17" fillId="11" borderId="11" xfId="0" applyFont="1" applyFill="1" applyBorder="1" applyAlignment="1">
      <alignment horizontal="left" vertical="center"/>
    </xf>
    <xf numFmtId="0" fontId="17" fillId="11" borderId="5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horizontal="left" vertical="center"/>
    </xf>
    <xf numFmtId="0" fontId="62" fillId="31" borderId="11" xfId="0" applyFont="1" applyFill="1" applyBorder="1" applyAlignment="1">
      <alignment horizontal="center" vertical="center" wrapText="1"/>
    </xf>
    <xf numFmtId="0" fontId="62" fillId="31" borderId="5" xfId="0" applyFont="1" applyFill="1" applyBorder="1" applyAlignment="1">
      <alignment horizontal="center" vertical="center" wrapText="1"/>
    </xf>
    <xf numFmtId="0" fontId="62" fillId="31" borderId="21" xfId="0" applyFont="1" applyFill="1" applyBorder="1" applyAlignment="1">
      <alignment horizontal="center" vertical="center" wrapText="1"/>
    </xf>
    <xf numFmtId="0" fontId="16" fillId="12" borderId="16" xfId="0" applyFont="1" applyFill="1" applyBorder="1" applyAlignment="1">
      <alignment horizontal="center" vertical="center" wrapText="1"/>
    </xf>
    <xf numFmtId="0" fontId="16" fillId="12" borderId="0" xfId="0" applyFont="1" applyFill="1" applyBorder="1" applyAlignment="1">
      <alignment horizontal="center" vertical="center" wrapText="1"/>
    </xf>
    <xf numFmtId="0" fontId="42" fillId="10" borderId="16" xfId="0" applyFont="1" applyFill="1" applyBorder="1" applyAlignment="1" applyProtection="1">
      <alignment horizontal="center" vertical="center"/>
      <protection locked="0"/>
    </xf>
    <xf numFmtId="0" fontId="42" fillId="10" borderId="0" xfId="0" applyFont="1" applyFill="1" applyBorder="1" applyAlignment="1" applyProtection="1">
      <alignment horizontal="center" vertical="center"/>
      <protection locked="0"/>
    </xf>
    <xf numFmtId="0" fontId="30" fillId="43" borderId="5" xfId="0" applyFont="1" applyFill="1" applyBorder="1" applyAlignment="1">
      <alignment horizontal="center" vertical="center"/>
    </xf>
    <xf numFmtId="0" fontId="30" fillId="43" borderId="19" xfId="0" applyFont="1" applyFill="1" applyBorder="1" applyAlignment="1">
      <alignment horizontal="center" vertical="center"/>
    </xf>
    <xf numFmtId="0" fontId="30" fillId="43" borderId="6" xfId="0" applyFont="1" applyFill="1" applyBorder="1" applyAlignment="1">
      <alignment horizontal="center" vertical="center"/>
    </xf>
    <xf numFmtId="0" fontId="42" fillId="10" borderId="19" xfId="0" applyFont="1" applyFill="1" applyBorder="1" applyAlignment="1" applyProtection="1">
      <alignment horizontal="center" vertical="center"/>
      <protection locked="0"/>
    </xf>
    <xf numFmtId="0" fontId="42" fillId="10" borderId="6" xfId="0" applyFont="1" applyFill="1" applyBorder="1" applyAlignment="1" applyProtection="1">
      <alignment horizontal="center" vertical="center"/>
      <protection locked="0"/>
    </xf>
    <xf numFmtId="0" fontId="17" fillId="17" borderId="0" xfId="0" applyFont="1" applyFill="1" applyBorder="1" applyAlignment="1">
      <alignment horizontal="left" vertical="center" wrapText="1"/>
    </xf>
    <xf numFmtId="0" fontId="17" fillId="42" borderId="0" xfId="0" applyFont="1" applyFill="1" applyBorder="1" applyAlignment="1">
      <alignment horizontal="left" vertical="center" wrapText="1"/>
    </xf>
    <xf numFmtId="0" fontId="42" fillId="47" borderId="16" xfId="0" applyFont="1" applyFill="1" applyBorder="1" applyAlignment="1" applyProtection="1">
      <alignment horizontal="center" vertical="center" wrapText="1"/>
      <protection locked="0"/>
    </xf>
    <xf numFmtId="0" fontId="42" fillId="47" borderId="0" xfId="0" applyFont="1" applyFill="1" applyBorder="1" applyAlignment="1" applyProtection="1">
      <alignment horizontal="center" vertical="center" wrapText="1"/>
      <protection locked="0"/>
    </xf>
    <xf numFmtId="0" fontId="18" fillId="42" borderId="16" xfId="0" applyFont="1" applyFill="1" applyBorder="1" applyAlignment="1" applyProtection="1">
      <alignment horizontal="center" vertical="center" wrapText="1"/>
      <protection locked="0"/>
    </xf>
    <xf numFmtId="0" fontId="18" fillId="42" borderId="0" xfId="0" applyFont="1" applyFill="1" applyBorder="1" applyAlignment="1" applyProtection="1">
      <alignment horizontal="center" vertical="center" wrapText="1"/>
      <protection locked="0"/>
    </xf>
    <xf numFmtId="0" fontId="17" fillId="42" borderId="16" xfId="0" applyFont="1" applyFill="1" applyBorder="1" applyAlignment="1">
      <alignment horizontal="center" vertical="center" wrapText="1"/>
    </xf>
    <xf numFmtId="0" fontId="17" fillId="42" borderId="0" xfId="0" applyFont="1" applyFill="1" applyBorder="1" applyAlignment="1">
      <alignment horizontal="center" vertical="center" wrapText="1"/>
    </xf>
    <xf numFmtId="0" fontId="42" fillId="12" borderId="2" xfId="0" applyFont="1" applyFill="1" applyBorder="1" applyAlignment="1">
      <alignment horizontal="center" vertical="center" wrapText="1"/>
    </xf>
    <xf numFmtId="0" fontId="34" fillId="10" borderId="0" xfId="0" applyFont="1" applyFill="1" applyBorder="1" applyAlignment="1">
      <alignment horizontal="center" vertical="center" wrapText="1"/>
    </xf>
    <xf numFmtId="0" fontId="16" fillId="12" borderId="2" xfId="0" applyFont="1" applyFill="1" applyBorder="1" applyAlignment="1">
      <alignment horizontal="center" vertical="center"/>
    </xf>
  </cellXfs>
  <cellStyles count="30">
    <cellStyle name="Accent" xfId="1"/>
    <cellStyle name="Accent 1" xfId="2"/>
    <cellStyle name="Accent 2" xfId="3"/>
    <cellStyle name="Accent 3" xfId="4"/>
    <cellStyle name="Bad" xfId="5"/>
    <cellStyle name="Error" xfId="6"/>
    <cellStyle name="Excel Built-in Comma" xfId="7"/>
    <cellStyle name="Excel Built-in Currency" xfId="8"/>
    <cellStyle name="Excel Built-in Excel Built-in Excel Built-in Excel Built-in Excel Built-in Excel Built-in Excel Built-in Excel Built-in 20% - Accent1" xfId="9"/>
    <cellStyle name="Excel Built-in Excel Built-in Excel Built-in Excel Built-in Excel Built-in Excel Built-in Excel Built-in Excel Built-in 20% - Accent1 2" xfId="10"/>
    <cellStyle name="Excel Built-in Percent" xfId="11"/>
    <cellStyle name="Footnote" xfId="12"/>
    <cellStyle name="Good" xfId="13"/>
    <cellStyle name="Heading (user)" xfId="14"/>
    <cellStyle name="Heading 1" xfId="15"/>
    <cellStyle name="Heading 2" xfId="16"/>
    <cellStyle name="Hyperlink" xfId="17"/>
    <cellStyle name="Moeda" xfId="26" builtinId="4"/>
    <cellStyle name="Moeda 2" xfId="18"/>
    <cellStyle name="Neutral" xfId="19"/>
    <cellStyle name="Normal" xfId="0" builtinId="0" customBuiltin="1"/>
    <cellStyle name="Normal 2" xfId="20"/>
    <cellStyle name="Normal 3" xfId="21"/>
    <cellStyle name="Normal 4" xfId="27"/>
    <cellStyle name="Note" xfId="22"/>
    <cellStyle name="Porcentagem 2" xfId="29"/>
    <cellStyle name="Status" xfId="23"/>
    <cellStyle name="Text" xfId="24"/>
    <cellStyle name="Vírgula 2" xfId="28"/>
    <cellStyle name="Warning" xfId="25"/>
  </cellStyles>
  <dxfs count="0"/>
  <tableStyles count="0" defaultTableStyle="TableStyleMedium2" defaultPivotStyle="PivotStyleLight16"/>
  <colors>
    <mruColors>
      <color rgb="FFF490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85"/>
  <sheetViews>
    <sheetView showGridLines="0" tabSelected="1" topLeftCell="A43" zoomScale="91" zoomScaleNormal="91" workbookViewId="0">
      <selection activeCell="D48" sqref="D48"/>
    </sheetView>
  </sheetViews>
  <sheetFormatPr defaultRowHeight="14.25" x14ac:dyDescent="0.2"/>
  <cols>
    <col min="1" max="1" width="6.875" style="2" customWidth="1"/>
    <col min="2" max="2" width="7.375" style="2" customWidth="1"/>
    <col min="3" max="3" width="11.875" style="2" customWidth="1"/>
    <col min="4" max="4" width="71.125" style="2" customWidth="1"/>
    <col min="5" max="5" width="10.375" style="2" customWidth="1"/>
    <col min="6" max="6" width="8" style="2" customWidth="1"/>
    <col min="7" max="7" width="15.25" style="2" customWidth="1"/>
    <col min="8" max="8" width="12.25" style="2" customWidth="1"/>
    <col min="9" max="9" width="16.75" style="2" customWidth="1"/>
    <col min="10" max="10" width="15.125" style="2" customWidth="1"/>
    <col min="11" max="11" width="16.25" style="2" customWidth="1"/>
    <col min="12" max="12" width="14.5" style="2" customWidth="1"/>
    <col min="13" max="13" width="17.25" style="2" customWidth="1"/>
    <col min="14" max="14" width="15.125" style="2" customWidth="1"/>
    <col min="15" max="64" width="10.75" style="2" customWidth="1"/>
  </cols>
  <sheetData>
    <row r="1" spans="1:13" ht="18.75" x14ac:dyDescent="0.2">
      <c r="A1" s="593" t="s">
        <v>0</v>
      </c>
      <c r="B1" s="593"/>
      <c r="C1" s="593"/>
      <c r="D1" s="593"/>
      <c r="E1" s="593"/>
      <c r="F1" s="593"/>
      <c r="G1" s="593"/>
      <c r="H1" s="593"/>
      <c r="I1" s="593"/>
      <c r="J1" s="1"/>
      <c r="K1" s="1"/>
    </row>
    <row r="2" spans="1:13" x14ac:dyDescent="0.2">
      <c r="A2" s="594" t="s">
        <v>1</v>
      </c>
      <c r="B2" s="594"/>
      <c r="C2" s="594"/>
      <c r="D2" s="594"/>
      <c r="E2" s="594"/>
      <c r="F2" s="594"/>
      <c r="G2" s="594"/>
      <c r="H2" s="594"/>
      <c r="I2" s="594"/>
      <c r="J2" s="1"/>
      <c r="K2" s="1"/>
    </row>
    <row r="3" spans="1:13" x14ac:dyDescent="0.2">
      <c r="A3" s="594" t="s">
        <v>2</v>
      </c>
      <c r="B3" s="594"/>
      <c r="C3" s="594"/>
      <c r="D3" s="594"/>
      <c r="E3" s="594"/>
      <c r="F3" s="594"/>
      <c r="G3" s="594"/>
      <c r="H3" s="594"/>
      <c r="I3" s="594"/>
      <c r="J3" s="1"/>
      <c r="K3" s="1"/>
    </row>
    <row r="4" spans="1:13" x14ac:dyDescent="0.2">
      <c r="A4" s="594" t="s">
        <v>436</v>
      </c>
      <c r="B4" s="594"/>
      <c r="C4" s="594"/>
      <c r="D4" s="594"/>
      <c r="E4" s="594"/>
      <c r="F4" s="594"/>
      <c r="G4" s="594"/>
      <c r="H4" s="594"/>
      <c r="I4" s="594"/>
      <c r="J4" s="1"/>
      <c r="K4" s="1"/>
    </row>
    <row r="5" spans="1:13" x14ac:dyDescent="0.2">
      <c r="A5" s="594" t="s">
        <v>437</v>
      </c>
      <c r="B5" s="594"/>
      <c r="C5" s="594"/>
      <c r="D5" s="594"/>
      <c r="E5" s="594"/>
      <c r="F5" s="594"/>
      <c r="G5" s="594"/>
      <c r="H5" s="594"/>
      <c r="I5" s="594"/>
      <c r="J5" s="1"/>
      <c r="K5" s="1"/>
    </row>
    <row r="6" spans="1:13" ht="20.100000000000001" customHeight="1" x14ac:dyDescent="0.2">
      <c r="A6" s="590" t="s">
        <v>3</v>
      </c>
      <c r="B6" s="590"/>
      <c r="C6" s="590"/>
      <c r="D6" s="590"/>
      <c r="E6" s="590"/>
      <c r="F6" s="590"/>
      <c r="G6" s="590"/>
      <c r="H6" s="590"/>
      <c r="I6" s="590"/>
      <c r="J6" s="1"/>
      <c r="K6" s="1"/>
    </row>
    <row r="7" spans="1:13" x14ac:dyDescent="0.2">
      <c r="A7" s="591"/>
      <c r="B7" s="591"/>
      <c r="C7" s="591"/>
      <c r="D7" s="591"/>
      <c r="E7" s="591"/>
      <c r="F7" s="591"/>
      <c r="G7" s="591"/>
      <c r="H7" s="591"/>
      <c r="I7" s="591"/>
      <c r="J7" s="1"/>
      <c r="K7" s="1"/>
    </row>
    <row r="8" spans="1:13" ht="53.65" customHeight="1" x14ac:dyDescent="0.2">
      <c r="A8" s="592" t="s">
        <v>4</v>
      </c>
      <c r="B8" s="592"/>
      <c r="C8" s="592"/>
      <c r="D8" s="592"/>
      <c r="E8" s="592"/>
      <c r="F8" s="592"/>
      <c r="G8" s="592"/>
      <c r="H8" s="592"/>
      <c r="I8" s="592"/>
      <c r="J8" s="1"/>
      <c r="K8" s="1"/>
    </row>
    <row r="9" spans="1:13" ht="16.5" customHeight="1" x14ac:dyDescent="0.2">
      <c r="A9" s="582" t="s">
        <v>469</v>
      </c>
      <c r="B9" s="583"/>
      <c r="C9" s="583"/>
      <c r="D9" s="583"/>
      <c r="E9" s="583"/>
      <c r="F9" s="583"/>
      <c r="G9" s="583"/>
      <c r="H9" s="583"/>
      <c r="I9" s="584"/>
      <c r="J9" s="1"/>
      <c r="K9" s="1"/>
    </row>
    <row r="10" spans="1:13" ht="14.25" customHeight="1" x14ac:dyDescent="0.2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12</v>
      </c>
      <c r="H10" s="3" t="s">
        <v>13</v>
      </c>
      <c r="I10" s="3" t="s">
        <v>14</v>
      </c>
      <c r="J10" s="1"/>
      <c r="K10" s="1"/>
    </row>
    <row r="11" spans="1:13" ht="95.25" customHeight="1" x14ac:dyDescent="0.2">
      <c r="A11" s="585">
        <v>1</v>
      </c>
      <c r="B11" s="4">
        <v>1</v>
      </c>
      <c r="C11" s="4">
        <v>4014</v>
      </c>
      <c r="D11" s="10" t="s">
        <v>495</v>
      </c>
      <c r="E11" s="5">
        <f>'Formação de Preços'!G9+'Formação de Preços'!G10-'Formação de Preços'!E9-'Formação de Preços'!E10</f>
        <v>2</v>
      </c>
      <c r="F11" s="4">
        <v>12</v>
      </c>
      <c r="G11" s="6">
        <f>'Formação de Preços'!F9</f>
        <v>2635.35</v>
      </c>
      <c r="H11" s="6">
        <f>G11*E11</f>
        <v>5270.7</v>
      </c>
      <c r="I11" s="6">
        <f>H11*F11</f>
        <v>63248.399999999994</v>
      </c>
      <c r="J11" s="7"/>
      <c r="K11" s="1"/>
    </row>
    <row r="12" spans="1:13" ht="98.25" customHeight="1" x14ac:dyDescent="0.2">
      <c r="A12" s="586"/>
      <c r="B12" s="4">
        <v>2</v>
      </c>
      <c r="C12" s="4">
        <v>25089</v>
      </c>
      <c r="D12" s="10" t="s">
        <v>496</v>
      </c>
      <c r="E12" s="5">
        <f>'Formação de Preços'!G11-E11</f>
        <v>4</v>
      </c>
      <c r="F12" s="4">
        <v>12</v>
      </c>
      <c r="G12" s="6">
        <f>H12/E12</f>
        <v>8343.8424999999988</v>
      </c>
      <c r="H12" s="6">
        <f>'Formação de Preços'!D11+('Formação de Preços'!F11-'Formação de Preços'!F8-'Formação de Preços'!F9)</f>
        <v>33375.369999999995</v>
      </c>
      <c r="I12" s="6">
        <f>F12*H12</f>
        <v>400504.43999999994</v>
      </c>
      <c r="J12" s="7"/>
      <c r="K12" s="1"/>
    </row>
    <row r="13" spans="1:13" ht="102.75" customHeight="1" x14ac:dyDescent="0.2">
      <c r="A13" s="586"/>
      <c r="B13" s="4">
        <v>3</v>
      </c>
      <c r="C13" s="4">
        <v>25089</v>
      </c>
      <c r="D13" s="10" t="s">
        <v>501</v>
      </c>
      <c r="E13" s="5">
        <f>'Formação de Preços'!K11</f>
        <v>6</v>
      </c>
      <c r="F13" s="4">
        <v>12</v>
      </c>
      <c r="G13" s="6">
        <f>H13/E13</f>
        <v>1141.52</v>
      </c>
      <c r="H13" s="6">
        <f>'Formação de Preços'!J11</f>
        <v>6849.12</v>
      </c>
      <c r="I13" s="6">
        <f>F13*H13</f>
        <v>82189.440000000002</v>
      </c>
      <c r="J13" s="7"/>
      <c r="K13" s="1"/>
      <c r="M13" s="8"/>
    </row>
    <row r="14" spans="1:13" ht="25.5" x14ac:dyDescent="0.2">
      <c r="A14" s="586"/>
      <c r="B14" s="4">
        <v>4</v>
      </c>
      <c r="C14" s="4">
        <v>25089</v>
      </c>
      <c r="D14" s="10" t="s">
        <v>472</v>
      </c>
      <c r="E14" s="4">
        <v>1</v>
      </c>
      <c r="F14" s="4">
        <v>12</v>
      </c>
      <c r="G14" s="6">
        <f>H14/E14</f>
        <v>11326.883530566309</v>
      </c>
      <c r="H14" s="6">
        <f>'Formação de Preços'!N11+'Formação de Preços'!P11+'Formação de Preços'!R11+'Formação de Preços'!T11+'Formação de Preços'!V11</f>
        <v>11326.883530566309</v>
      </c>
      <c r="I14" s="6">
        <f>F14*H14</f>
        <v>135922.60236679571</v>
      </c>
      <c r="J14" s="7"/>
      <c r="K14" s="1"/>
    </row>
    <row r="15" spans="1:13" ht="25.5" x14ac:dyDescent="0.2">
      <c r="A15" s="586"/>
      <c r="B15" s="3" t="s">
        <v>7</v>
      </c>
      <c r="C15" s="3" t="s">
        <v>8</v>
      </c>
      <c r="D15" s="3" t="s">
        <v>9</v>
      </c>
      <c r="E15" s="3" t="s">
        <v>16</v>
      </c>
      <c r="F15" s="3" t="s">
        <v>11</v>
      </c>
      <c r="G15" s="3" t="s">
        <v>17</v>
      </c>
      <c r="H15" s="3" t="s">
        <v>13</v>
      </c>
      <c r="I15" s="9" t="s">
        <v>14</v>
      </c>
      <c r="J15" s="7"/>
      <c r="K15" s="1"/>
    </row>
    <row r="16" spans="1:13" ht="25.5" x14ac:dyDescent="0.2">
      <c r="A16" s="586"/>
      <c r="B16" s="4">
        <v>5</v>
      </c>
      <c r="C16" s="4">
        <v>25089</v>
      </c>
      <c r="D16" s="10" t="s">
        <v>18</v>
      </c>
      <c r="E16" s="5">
        <f>'Formação de Preços'!I11</f>
        <v>9000</v>
      </c>
      <c r="F16" s="4">
        <v>12</v>
      </c>
      <c r="G16" s="11">
        <f>H16/E16</f>
        <v>0.80568666666666666</v>
      </c>
      <c r="H16" s="11">
        <f>'Formação de Preços'!H11</f>
        <v>7251.18</v>
      </c>
      <c r="I16" s="6">
        <f>F16*H16</f>
        <v>87014.16</v>
      </c>
      <c r="J16" s="7"/>
      <c r="K16" s="1"/>
      <c r="L16" s="1"/>
    </row>
    <row r="17" spans="1:12" ht="25.5" x14ac:dyDescent="0.2">
      <c r="A17" s="12"/>
      <c r="B17" s="13">
        <v>6</v>
      </c>
      <c r="C17" s="4">
        <v>25089</v>
      </c>
      <c r="D17" s="10" t="s">
        <v>19</v>
      </c>
      <c r="E17" s="14">
        <f>'Formação de Preços'!M11</f>
        <v>4200</v>
      </c>
      <c r="F17" s="4">
        <v>12</v>
      </c>
      <c r="G17" s="11">
        <f>H17/E17</f>
        <v>1.3200633333333331</v>
      </c>
      <c r="H17" s="15">
        <f>'Formação de Preços'!L11</f>
        <v>5544.2659999999996</v>
      </c>
      <c r="I17" s="6">
        <f>F17*H17</f>
        <v>66531.191999999995</v>
      </c>
      <c r="J17" s="7"/>
      <c r="K17" s="1"/>
      <c r="L17" s="1"/>
    </row>
    <row r="18" spans="1:12" x14ac:dyDescent="0.2">
      <c r="A18" s="587" t="s">
        <v>464</v>
      </c>
      <c r="B18" s="588"/>
      <c r="C18" s="588"/>
      <c r="D18" s="588"/>
      <c r="E18" s="588"/>
      <c r="F18" s="588"/>
      <c r="G18" s="589"/>
      <c r="H18" s="16"/>
      <c r="I18" s="546">
        <f>H11+H12+H13+H14+H16+H17</f>
        <v>69617.519530566307</v>
      </c>
      <c r="J18" s="17"/>
      <c r="K18" s="1"/>
    </row>
    <row r="19" spans="1:12" x14ac:dyDescent="0.2">
      <c r="A19" s="587" t="s">
        <v>465</v>
      </c>
      <c r="B19" s="588"/>
      <c r="C19" s="588"/>
      <c r="D19" s="588"/>
      <c r="E19" s="588"/>
      <c r="F19" s="588"/>
      <c r="G19" s="589"/>
      <c r="H19" s="18"/>
      <c r="I19" s="18">
        <f>I18*12</f>
        <v>835410.23436679575</v>
      </c>
      <c r="J19" s="19"/>
      <c r="K19" s="549"/>
    </row>
    <row r="20" spans="1:12" x14ac:dyDescent="0.2">
      <c r="A20" s="20"/>
      <c r="B20" s="20"/>
      <c r="C20" s="20"/>
      <c r="D20" s="20"/>
      <c r="E20" s="20"/>
      <c r="F20" s="20"/>
      <c r="G20" s="20"/>
      <c r="H20" s="20"/>
      <c r="I20" s="21"/>
      <c r="J20" s="1"/>
      <c r="K20" s="1"/>
    </row>
    <row r="21" spans="1:12" ht="15.75" customHeight="1" x14ac:dyDescent="0.2">
      <c r="A21" s="620" t="s">
        <v>468</v>
      </c>
      <c r="B21" s="620"/>
      <c r="C21" s="620"/>
      <c r="D21" s="620"/>
      <c r="E21" s="620"/>
      <c r="F21" s="620"/>
      <c r="G21" s="620"/>
      <c r="H21" s="620"/>
      <c r="I21" s="620"/>
      <c r="J21" s="1"/>
      <c r="K21" s="1"/>
    </row>
    <row r="22" spans="1:12" x14ac:dyDescent="0.2">
      <c r="A22" s="541" t="s">
        <v>6</v>
      </c>
      <c r="B22" s="541" t="s">
        <v>7</v>
      </c>
      <c r="C22" s="541" t="s">
        <v>8</v>
      </c>
      <c r="D22" s="541" t="s">
        <v>9</v>
      </c>
      <c r="E22" s="541" t="s">
        <v>10</v>
      </c>
      <c r="F22" s="541" t="s">
        <v>11</v>
      </c>
      <c r="G22" s="541" t="s">
        <v>12</v>
      </c>
      <c r="H22" s="541" t="s">
        <v>13</v>
      </c>
      <c r="I22" s="541" t="s">
        <v>14</v>
      </c>
      <c r="J22" s="1"/>
      <c r="K22" s="1"/>
    </row>
    <row r="23" spans="1:12" ht="89.25" x14ac:dyDescent="0.2">
      <c r="A23" s="622">
        <v>2</v>
      </c>
      <c r="B23" s="538">
        <v>7</v>
      </c>
      <c r="C23" s="538">
        <v>25089</v>
      </c>
      <c r="D23" s="580" t="s">
        <v>497</v>
      </c>
      <c r="E23" s="539">
        <f>'Formação de Preços'!G14</f>
        <v>3</v>
      </c>
      <c r="F23" s="538">
        <v>12</v>
      </c>
      <c r="G23" s="540">
        <f>H23/E23</f>
        <v>8475.3799999999992</v>
      </c>
      <c r="H23" s="540">
        <f>'Formação de Preços'!D14+'Formação de Preços'!F14</f>
        <v>25426.14</v>
      </c>
      <c r="I23" s="540">
        <f>F23*H23</f>
        <v>305113.68</v>
      </c>
      <c r="J23" s="1"/>
      <c r="K23" s="1"/>
    </row>
    <row r="24" spans="1:12" ht="100.5" customHeight="1" x14ac:dyDescent="0.2">
      <c r="A24" s="623"/>
      <c r="B24" s="4">
        <v>8</v>
      </c>
      <c r="C24" s="4">
        <v>25089</v>
      </c>
      <c r="D24" s="10" t="s">
        <v>502</v>
      </c>
      <c r="E24" s="5">
        <f>'Formação de Preços'!K14</f>
        <v>4</v>
      </c>
      <c r="F24" s="4">
        <v>12</v>
      </c>
      <c r="G24" s="6">
        <f>H24/E24</f>
        <v>1149.73</v>
      </c>
      <c r="H24" s="6">
        <f>'Formação de Preços'!J14</f>
        <v>4598.92</v>
      </c>
      <c r="I24" s="6">
        <f>H24*F24</f>
        <v>55187.040000000001</v>
      </c>
      <c r="J24" s="1"/>
      <c r="K24" s="1"/>
    </row>
    <row r="25" spans="1:12" ht="25.5" x14ac:dyDescent="0.2">
      <c r="A25" s="623"/>
      <c r="B25" s="4">
        <v>9</v>
      </c>
      <c r="C25" s="4">
        <v>25089</v>
      </c>
      <c r="D25" s="10" t="s">
        <v>472</v>
      </c>
      <c r="E25" s="4">
        <v>1</v>
      </c>
      <c r="F25" s="4">
        <v>12</v>
      </c>
      <c r="G25" s="6">
        <f>H25/E25</f>
        <v>8228.4408255461021</v>
      </c>
      <c r="H25" s="6">
        <f>'Formação de Preços'!N14+'Formação de Preços'!P14+'Formação de Preços'!R14+'Formação de Preços'!T14+'Formação de Preços'!V14</f>
        <v>8228.4408255461021</v>
      </c>
      <c r="I25" s="6">
        <f>F25*H25</f>
        <v>98741.289906553226</v>
      </c>
      <c r="J25" s="1"/>
      <c r="K25" s="1"/>
    </row>
    <row r="26" spans="1:12" ht="30" customHeight="1" x14ac:dyDescent="0.2">
      <c r="A26" s="623"/>
      <c r="B26" s="541" t="s">
        <v>7</v>
      </c>
      <c r="C26" s="541" t="s">
        <v>8</v>
      </c>
      <c r="D26" s="541" t="s">
        <v>9</v>
      </c>
      <c r="E26" s="542" t="s">
        <v>16</v>
      </c>
      <c r="F26" s="542" t="s">
        <v>11</v>
      </c>
      <c r="G26" s="542" t="s">
        <v>17</v>
      </c>
      <c r="H26" s="541" t="s">
        <v>13</v>
      </c>
      <c r="I26" s="541" t="s">
        <v>14</v>
      </c>
      <c r="J26" s="1"/>
      <c r="K26" s="1"/>
    </row>
    <row r="27" spans="1:12" ht="25.5" x14ac:dyDescent="0.2">
      <c r="A27" s="623"/>
      <c r="B27" s="4">
        <v>10</v>
      </c>
      <c r="C27" s="4">
        <v>25089</v>
      </c>
      <c r="D27" s="10" t="s">
        <v>18</v>
      </c>
      <c r="E27" s="5">
        <f>'Formação de Preços'!I14</f>
        <v>6000</v>
      </c>
      <c r="F27" s="4">
        <v>12</v>
      </c>
      <c r="G27" s="11">
        <f>H27/E27</f>
        <v>0.81147999999999998</v>
      </c>
      <c r="H27" s="11">
        <f>'Formação de Preços'!H14</f>
        <v>4868.88</v>
      </c>
      <c r="I27" s="6">
        <f>H27*12</f>
        <v>58426.559999999998</v>
      </c>
      <c r="J27" s="1"/>
      <c r="K27" s="1"/>
    </row>
    <row r="28" spans="1:12" ht="25.5" x14ac:dyDescent="0.2">
      <c r="A28" s="624"/>
      <c r="B28" s="13">
        <v>11</v>
      </c>
      <c r="C28" s="4">
        <v>25089</v>
      </c>
      <c r="D28" s="10" t="s">
        <v>19</v>
      </c>
      <c r="E28" s="14">
        <f>'Formação de Preços'!M14</f>
        <v>2800</v>
      </c>
      <c r="F28" s="4">
        <v>12</v>
      </c>
      <c r="G28" s="11">
        <f>H28/E28</f>
        <v>1.3295599999999999</v>
      </c>
      <c r="H28" s="15">
        <f>'Formação de Preços'!L14</f>
        <v>3722.7679999999996</v>
      </c>
      <c r="I28" s="6">
        <f>H28*12</f>
        <v>44673.215999999993</v>
      </c>
      <c r="J28" s="1"/>
      <c r="K28" s="1"/>
    </row>
    <row r="29" spans="1:12" x14ac:dyDescent="0.2">
      <c r="A29" s="621" t="s">
        <v>466</v>
      </c>
      <c r="B29" s="621"/>
      <c r="C29" s="621"/>
      <c r="D29" s="621"/>
      <c r="E29" s="621"/>
      <c r="F29" s="621"/>
      <c r="G29" s="621"/>
      <c r="H29" s="536"/>
      <c r="I29" s="550">
        <f>SUM(H23:H25,H27:H28)</f>
        <v>46845.148825546094</v>
      </c>
      <c r="J29" s="549"/>
      <c r="K29" s="7"/>
    </row>
    <row r="30" spans="1:12" x14ac:dyDescent="0.2">
      <c r="A30" s="621" t="s">
        <v>467</v>
      </c>
      <c r="B30" s="621"/>
      <c r="C30" s="621"/>
      <c r="D30" s="621"/>
      <c r="E30" s="621"/>
      <c r="F30" s="621"/>
      <c r="G30" s="621"/>
      <c r="H30" s="537"/>
      <c r="I30" s="537">
        <f>I29*12</f>
        <v>562141.78590655315</v>
      </c>
      <c r="J30" s="549"/>
      <c r="K30" s="1"/>
    </row>
    <row r="31" spans="1:12" x14ac:dyDescent="0.2">
      <c r="A31" s="20"/>
      <c r="B31" s="20"/>
      <c r="C31" s="20"/>
      <c r="D31" s="20"/>
      <c r="E31" s="20"/>
      <c r="F31" s="20"/>
      <c r="G31" s="20"/>
      <c r="H31" s="20"/>
      <c r="I31" s="21"/>
      <c r="J31" s="1"/>
      <c r="K31" s="1"/>
    </row>
    <row r="32" spans="1:12" ht="15.75" x14ac:dyDescent="0.2">
      <c r="A32" s="611" t="s">
        <v>470</v>
      </c>
      <c r="B32" s="612"/>
      <c r="C32" s="612"/>
      <c r="D32" s="612"/>
      <c r="E32" s="612"/>
      <c r="F32" s="612"/>
      <c r="G32" s="612"/>
      <c r="H32" s="612"/>
      <c r="I32" s="613"/>
      <c r="J32" s="1"/>
      <c r="K32" s="1"/>
    </row>
    <row r="33" spans="1:11" ht="24" customHeight="1" x14ac:dyDescent="0.2">
      <c r="A33" s="22" t="s">
        <v>6</v>
      </c>
      <c r="B33" s="22" t="s">
        <v>7</v>
      </c>
      <c r="C33" s="22" t="s">
        <v>8</v>
      </c>
      <c r="D33" s="22" t="s">
        <v>9</v>
      </c>
      <c r="E33" s="22" t="s">
        <v>10</v>
      </c>
      <c r="F33" s="22" t="s">
        <v>11</v>
      </c>
      <c r="G33" s="22" t="s">
        <v>20</v>
      </c>
      <c r="H33" s="22" t="s">
        <v>13</v>
      </c>
      <c r="I33" s="22" t="s">
        <v>14</v>
      </c>
      <c r="J33" s="1"/>
      <c r="K33" s="1"/>
    </row>
    <row r="34" spans="1:11" ht="108.75" customHeight="1" x14ac:dyDescent="0.2">
      <c r="A34" s="614">
        <v>3</v>
      </c>
      <c r="B34" s="4">
        <v>12</v>
      </c>
      <c r="C34" s="4">
        <v>25089</v>
      </c>
      <c r="D34" s="10" t="s">
        <v>498</v>
      </c>
      <c r="E34" s="539">
        <f>'Formação de Preços'!G18</f>
        <v>4</v>
      </c>
      <c r="F34" s="538">
        <v>12</v>
      </c>
      <c r="G34" s="540">
        <f>H34/E34</f>
        <v>7079.6900000000005</v>
      </c>
      <c r="H34" s="540">
        <f>'Formação de Preços'!D18+'Formação de Preços'!F18</f>
        <v>28318.760000000002</v>
      </c>
      <c r="I34" s="540">
        <f>F34*H34</f>
        <v>339825.12</v>
      </c>
      <c r="J34" s="1"/>
      <c r="K34" s="1"/>
    </row>
    <row r="35" spans="1:11" ht="108" customHeight="1" x14ac:dyDescent="0.2">
      <c r="A35" s="615"/>
      <c r="B35" s="4">
        <v>13</v>
      </c>
      <c r="C35" s="4">
        <v>25089</v>
      </c>
      <c r="D35" s="10" t="s">
        <v>503</v>
      </c>
      <c r="E35" s="5">
        <f>'Formação de Preços'!K18</f>
        <v>6</v>
      </c>
      <c r="F35" s="4">
        <v>12</v>
      </c>
      <c r="G35" s="6">
        <f>H35/E35</f>
        <v>1131.3533333333335</v>
      </c>
      <c r="H35" s="6">
        <f>'Formação de Preços'!J18</f>
        <v>6788.1200000000008</v>
      </c>
      <c r="I35" s="540">
        <f t="shared" ref="I35:I36" si="0">F35*H35</f>
        <v>81457.440000000002</v>
      </c>
      <c r="J35" s="1"/>
      <c r="K35" s="1"/>
    </row>
    <row r="36" spans="1:11" ht="25.5" x14ac:dyDescent="0.2">
      <c r="A36" s="615"/>
      <c r="B36" s="4">
        <v>14</v>
      </c>
      <c r="C36" s="4">
        <v>25089</v>
      </c>
      <c r="D36" s="10" t="s">
        <v>472</v>
      </c>
      <c r="E36" s="4">
        <v>1</v>
      </c>
      <c r="F36" s="4">
        <v>12</v>
      </c>
      <c r="G36" s="6">
        <f>H36/E36</f>
        <v>10029.463379155584</v>
      </c>
      <c r="H36" s="6">
        <f>'Formação de Preços'!N18+'Formação de Preços'!P18+'Formação de Preços'!R18+'Formação de Preços'!T18+'Formação de Preços'!V18</f>
        <v>10029.463379155584</v>
      </c>
      <c r="I36" s="540">
        <f t="shared" si="0"/>
        <v>120353.56054986702</v>
      </c>
      <c r="J36" s="1"/>
      <c r="K36" s="1"/>
    </row>
    <row r="37" spans="1:11" ht="25.5" x14ac:dyDescent="0.2">
      <c r="A37" s="615"/>
      <c r="B37" s="22" t="s">
        <v>7</v>
      </c>
      <c r="C37" s="22" t="s">
        <v>8</v>
      </c>
      <c r="D37" s="22" t="s">
        <v>9</v>
      </c>
      <c r="E37" s="22" t="s">
        <v>16</v>
      </c>
      <c r="F37" s="22" t="s">
        <v>11</v>
      </c>
      <c r="G37" s="22" t="s">
        <v>17</v>
      </c>
      <c r="H37" s="22" t="s">
        <v>13</v>
      </c>
      <c r="I37" s="24" t="s">
        <v>14</v>
      </c>
      <c r="J37" s="1"/>
      <c r="K37" s="1"/>
    </row>
    <row r="38" spans="1:11" ht="25.5" x14ac:dyDescent="0.2">
      <c r="A38" s="615"/>
      <c r="B38" s="4">
        <v>15</v>
      </c>
      <c r="C38" s="4">
        <v>25089</v>
      </c>
      <c r="D38" s="10" t="s">
        <v>18</v>
      </c>
      <c r="E38" s="5">
        <f>'Formação de Preços'!I18</f>
        <v>6000</v>
      </c>
      <c r="F38" s="4">
        <v>12</v>
      </c>
      <c r="G38" s="11">
        <f>H38/E38</f>
        <v>0.7777966666666668</v>
      </c>
      <c r="H38" s="11">
        <f>'Formação de Preços'!H18</f>
        <v>4666.7800000000007</v>
      </c>
      <c r="I38" s="6">
        <f>H38*12</f>
        <v>56001.360000000008</v>
      </c>
      <c r="J38" s="1"/>
      <c r="K38" s="1"/>
    </row>
    <row r="39" spans="1:11" ht="25.5" x14ac:dyDescent="0.2">
      <c r="A39" s="616"/>
      <c r="B39" s="4">
        <v>16</v>
      </c>
      <c r="C39" s="4">
        <v>25089</v>
      </c>
      <c r="D39" s="10" t="s">
        <v>19</v>
      </c>
      <c r="E39" s="14">
        <f>'Formação de Preços'!M18</f>
        <v>4200</v>
      </c>
      <c r="F39" s="4">
        <v>12</v>
      </c>
      <c r="G39" s="11">
        <f>H39/E39</f>
        <v>1.3165966666666666</v>
      </c>
      <c r="H39" s="15">
        <f>'Formação de Preços'!L18</f>
        <v>5529.7060000000001</v>
      </c>
      <c r="I39" s="6">
        <f>H39*12</f>
        <v>66356.472000000009</v>
      </c>
      <c r="J39" s="1"/>
      <c r="K39" s="1"/>
    </row>
    <row r="40" spans="1:11" x14ac:dyDescent="0.2">
      <c r="A40" s="617" t="s">
        <v>493</v>
      </c>
      <c r="B40" s="618"/>
      <c r="C40" s="618"/>
      <c r="D40" s="618"/>
      <c r="E40" s="618"/>
      <c r="F40" s="618"/>
      <c r="G40" s="619"/>
      <c r="H40" s="581"/>
      <c r="I40" s="551">
        <f>SUM(H34:H36,H38:H39)</f>
        <v>55332.829379155584</v>
      </c>
      <c r="J40" s="549"/>
      <c r="K40" s="549"/>
    </row>
    <row r="41" spans="1:11" x14ac:dyDescent="0.2">
      <c r="A41" s="617" t="s">
        <v>494</v>
      </c>
      <c r="B41" s="618"/>
      <c r="C41" s="618"/>
      <c r="D41" s="618"/>
      <c r="E41" s="618"/>
      <c r="F41" s="618"/>
      <c r="G41" s="619"/>
      <c r="H41" s="581"/>
      <c r="I41" s="25">
        <f>I40*12</f>
        <v>663993.95254986698</v>
      </c>
      <c r="J41" s="549"/>
      <c r="K41" s="1"/>
    </row>
    <row r="42" spans="1:11" x14ac:dyDescent="0.2">
      <c r="A42" s="20"/>
      <c r="B42" s="20"/>
      <c r="C42" s="20"/>
      <c r="D42" s="20"/>
      <c r="E42" s="20"/>
      <c r="F42" s="20"/>
      <c r="G42" s="20"/>
      <c r="H42" s="20"/>
      <c r="I42" s="21"/>
      <c r="J42" s="1"/>
      <c r="K42" s="1"/>
    </row>
    <row r="43" spans="1:11" x14ac:dyDescent="0.2">
      <c r="A43" s="20"/>
      <c r="B43" s="20"/>
      <c r="C43" s="20"/>
      <c r="D43" s="20"/>
      <c r="E43" s="20"/>
      <c r="F43" s="20"/>
      <c r="G43" s="20"/>
      <c r="H43" s="20"/>
      <c r="I43" s="21"/>
      <c r="J43" s="1"/>
      <c r="K43" s="1"/>
    </row>
    <row r="44" spans="1:11" ht="15" x14ac:dyDescent="0.2">
      <c r="A44" s="596" t="s">
        <v>471</v>
      </c>
      <c r="B44" s="596"/>
      <c r="C44" s="596"/>
      <c r="D44" s="596"/>
      <c r="E44" s="596"/>
      <c r="F44" s="596"/>
      <c r="G44" s="596"/>
      <c r="H44" s="596"/>
      <c r="I44" s="596"/>
      <c r="J44" s="1"/>
      <c r="K44" s="1"/>
    </row>
    <row r="45" spans="1:11" ht="27.95" customHeight="1" x14ac:dyDescent="0.2">
      <c r="A45" s="544" t="s">
        <v>6</v>
      </c>
      <c r="B45" s="544" t="s">
        <v>7</v>
      </c>
      <c r="C45" s="544" t="s">
        <v>8</v>
      </c>
      <c r="D45" s="544" t="s">
        <v>9</v>
      </c>
      <c r="E45" s="544" t="s">
        <v>10</v>
      </c>
      <c r="F45" s="544" t="s">
        <v>11</v>
      </c>
      <c r="G45" s="544" t="s">
        <v>20</v>
      </c>
      <c r="H45" s="544" t="s">
        <v>13</v>
      </c>
      <c r="I45" s="544" t="s">
        <v>14</v>
      </c>
      <c r="J45" s="1"/>
      <c r="K45" s="1"/>
    </row>
    <row r="46" spans="1:11" ht="99" customHeight="1" x14ac:dyDescent="0.2">
      <c r="A46" s="597">
        <v>4</v>
      </c>
      <c r="B46" s="538">
        <v>17</v>
      </c>
      <c r="C46" s="538">
        <v>4014</v>
      </c>
      <c r="D46" s="580" t="s">
        <v>499</v>
      </c>
      <c r="E46" s="5">
        <f>'Formação de Preços'!G19</f>
        <v>1</v>
      </c>
      <c r="F46" s="4">
        <v>12</v>
      </c>
      <c r="G46" s="6">
        <f>H46</f>
        <v>2507.65</v>
      </c>
      <c r="H46" s="6">
        <f>'Formação de Preços'!F19</f>
        <v>2507.65</v>
      </c>
      <c r="I46" s="6">
        <f>H46*F46</f>
        <v>30091.800000000003</v>
      </c>
      <c r="J46" s="23"/>
      <c r="K46" s="1"/>
    </row>
    <row r="47" spans="1:11" ht="106.5" customHeight="1" x14ac:dyDescent="0.2">
      <c r="A47" s="598"/>
      <c r="B47" s="4">
        <v>18</v>
      </c>
      <c r="C47" s="4">
        <v>25089</v>
      </c>
      <c r="D47" s="10" t="s">
        <v>500</v>
      </c>
      <c r="E47" s="5">
        <f>'Formação de Preços'!G23-'Formação de Preços'!G19</f>
        <v>4</v>
      </c>
      <c r="F47" s="4">
        <v>12</v>
      </c>
      <c r="G47" s="6">
        <f>H47/E47</f>
        <v>8260.7900000000009</v>
      </c>
      <c r="H47" s="6">
        <f>'Formação de Preços'!D23+('Formação de Preços'!F23-'Formação de Preços'!F19)</f>
        <v>33043.160000000003</v>
      </c>
      <c r="I47" s="6">
        <f>F47*H47</f>
        <v>396517.92000000004</v>
      </c>
      <c r="J47" s="23"/>
      <c r="K47" s="1"/>
    </row>
    <row r="48" spans="1:11" ht="105" customHeight="1" x14ac:dyDescent="0.2">
      <c r="A48" s="598"/>
      <c r="B48" s="4">
        <v>19</v>
      </c>
      <c r="C48" s="4">
        <v>25089</v>
      </c>
      <c r="D48" s="10" t="s">
        <v>504</v>
      </c>
      <c r="E48" s="5">
        <f>'Formação de Preços'!K23</f>
        <v>8</v>
      </c>
      <c r="F48" s="4">
        <v>12</v>
      </c>
      <c r="G48" s="6">
        <f>H48/E48</f>
        <v>1122.18</v>
      </c>
      <c r="H48" s="6">
        <f>'Formação de Preços'!J23</f>
        <v>8977.44</v>
      </c>
      <c r="I48" s="6">
        <f>F48*H48</f>
        <v>107729.28</v>
      </c>
      <c r="J48" s="23"/>
      <c r="K48" s="1"/>
    </row>
    <row r="49" spans="1:15" ht="25.5" x14ac:dyDescent="0.2">
      <c r="A49" s="598"/>
      <c r="B49" s="4">
        <v>20</v>
      </c>
      <c r="C49" s="4">
        <v>25089</v>
      </c>
      <c r="D49" s="10" t="s">
        <v>472</v>
      </c>
      <c r="E49" s="4">
        <v>1</v>
      </c>
      <c r="F49" s="4">
        <v>12</v>
      </c>
      <c r="G49" s="6">
        <f>H49/E49</f>
        <v>12025.405654060212</v>
      </c>
      <c r="H49" s="6">
        <f>'Formação de Preços'!N23+'Formação de Preços'!P23+'Formação de Preços'!R23+'Formação de Preços'!T23+'Formação de Preços'!V23</f>
        <v>12025.405654060212</v>
      </c>
      <c r="I49" s="6">
        <f>F49*H49</f>
        <v>144304.86784872256</v>
      </c>
      <c r="J49" s="23"/>
      <c r="K49" s="1"/>
    </row>
    <row r="50" spans="1:15" ht="25.5" x14ac:dyDescent="0.2">
      <c r="A50" s="598"/>
      <c r="B50" s="544" t="s">
        <v>7</v>
      </c>
      <c r="C50" s="544" t="s">
        <v>8</v>
      </c>
      <c r="D50" s="544" t="s">
        <v>9</v>
      </c>
      <c r="E50" s="545" t="s">
        <v>16</v>
      </c>
      <c r="F50" s="545" t="s">
        <v>11</v>
      </c>
      <c r="G50" s="545" t="s">
        <v>17</v>
      </c>
      <c r="H50" s="544" t="s">
        <v>13</v>
      </c>
      <c r="I50" s="544" t="s">
        <v>14</v>
      </c>
      <c r="J50" s="23"/>
      <c r="K50" s="1"/>
    </row>
    <row r="51" spans="1:15" ht="25.5" x14ac:dyDescent="0.2">
      <c r="A51" s="598"/>
      <c r="B51" s="4">
        <v>21</v>
      </c>
      <c r="C51" s="4">
        <v>25089</v>
      </c>
      <c r="D51" s="10" t="s">
        <v>18</v>
      </c>
      <c r="E51" s="5">
        <f>'Formação de Preços'!I23</f>
        <v>12000</v>
      </c>
      <c r="F51" s="4">
        <v>12</v>
      </c>
      <c r="G51" s="11">
        <f>H51/E51</f>
        <v>0.77079833333333336</v>
      </c>
      <c r="H51" s="11">
        <f>'Formação de Preços'!H23</f>
        <v>9249.58</v>
      </c>
      <c r="I51" s="6">
        <f>H51*F51</f>
        <v>110994.95999999999</v>
      </c>
      <c r="J51" s="23"/>
      <c r="K51" s="1"/>
      <c r="L51" s="1"/>
    </row>
    <row r="52" spans="1:15" ht="25.5" x14ac:dyDescent="0.2">
      <c r="A52" s="599"/>
      <c r="B52" s="4">
        <v>22</v>
      </c>
      <c r="C52" s="4">
        <v>25089</v>
      </c>
      <c r="D52" s="10" t="s">
        <v>19</v>
      </c>
      <c r="E52" s="14">
        <f>'Formação de Preços'!M23</f>
        <v>5600</v>
      </c>
      <c r="F52" s="4">
        <v>12</v>
      </c>
      <c r="G52" s="11">
        <f>H52/E52</f>
        <v>1.305925</v>
      </c>
      <c r="H52" s="15">
        <f>'Formação de Preços'!L23</f>
        <v>7313.18</v>
      </c>
      <c r="I52" s="6">
        <f>H52*F52</f>
        <v>87758.16</v>
      </c>
      <c r="J52" s="23"/>
      <c r="K52" s="1"/>
      <c r="L52" s="1"/>
    </row>
    <row r="53" spans="1:15" ht="15" x14ac:dyDescent="0.2">
      <c r="A53" s="525" t="s">
        <v>491</v>
      </c>
      <c r="B53" s="525"/>
      <c r="C53" s="525"/>
      <c r="D53" s="525"/>
      <c r="E53" s="525"/>
      <c r="F53" s="525"/>
      <c r="G53" s="525"/>
      <c r="H53" s="543"/>
      <c r="I53" s="552">
        <f>SUM(H46:H49,H51:H52)</f>
        <v>73116.415654060227</v>
      </c>
      <c r="J53" s="7"/>
      <c r="K53" s="7"/>
    </row>
    <row r="54" spans="1:15" ht="15" x14ac:dyDescent="0.2">
      <c r="A54" s="600" t="s">
        <v>492</v>
      </c>
      <c r="B54" s="600"/>
      <c r="C54" s="600"/>
      <c r="D54" s="600"/>
      <c r="E54" s="600"/>
      <c r="F54" s="600"/>
      <c r="G54" s="600"/>
      <c r="H54" s="543"/>
      <c r="I54" s="543">
        <f>I53*12</f>
        <v>877396.98784872273</v>
      </c>
      <c r="J54" s="7"/>
      <c r="K54" s="1"/>
    </row>
    <row r="55" spans="1:15" ht="15" x14ac:dyDescent="0.2">
      <c r="A55" s="26"/>
      <c r="B55" s="26"/>
      <c r="C55" s="26"/>
      <c r="D55" s="26"/>
      <c r="E55" s="26"/>
      <c r="F55" s="26"/>
      <c r="G55" s="26"/>
      <c r="H55" s="26"/>
      <c r="I55" s="27"/>
    </row>
    <row r="56" spans="1:15" ht="15" x14ac:dyDescent="0.2">
      <c r="A56" s="601" t="s">
        <v>22</v>
      </c>
      <c r="B56" s="601"/>
      <c r="C56" s="601"/>
      <c r="D56" s="28"/>
      <c r="E56" s="28"/>
      <c r="F56" s="28"/>
      <c r="G56" s="28"/>
      <c r="H56" s="28"/>
      <c r="I56" s="29">
        <f>ROUND((I18+I29+I40+I53),2)</f>
        <v>244911.91</v>
      </c>
      <c r="J56" s="8"/>
      <c r="K56" s="8"/>
      <c r="L56" s="452"/>
      <c r="M56" s="452"/>
      <c r="N56" s="452"/>
      <c r="O56" s="459"/>
    </row>
    <row r="57" spans="1:15" ht="15" x14ac:dyDescent="0.2">
      <c r="A57" s="601" t="s">
        <v>23</v>
      </c>
      <c r="B57" s="601"/>
      <c r="C57" s="601"/>
      <c r="D57" s="28"/>
      <c r="E57" s="28"/>
      <c r="F57" s="28"/>
      <c r="G57" s="28"/>
      <c r="H57" s="28"/>
      <c r="I57" s="29">
        <f>I56*12</f>
        <v>2938942.92</v>
      </c>
      <c r="J57" s="8"/>
      <c r="K57" s="8"/>
      <c r="L57" s="452"/>
      <c r="M57" s="452"/>
      <c r="N57" s="452"/>
    </row>
    <row r="58" spans="1:15" ht="15" x14ac:dyDescent="0.2">
      <c r="A58" s="30"/>
      <c r="B58" s="30"/>
      <c r="C58" s="30"/>
      <c r="D58" s="30"/>
      <c r="E58" s="30"/>
      <c r="F58" s="30"/>
      <c r="G58" s="30"/>
      <c r="H58" s="30"/>
      <c r="I58" s="31"/>
      <c r="J58" s="460"/>
    </row>
    <row r="59" spans="1:15" ht="20.100000000000001" customHeight="1" x14ac:dyDescent="0.2">
      <c r="A59" s="590" t="s">
        <v>24</v>
      </c>
      <c r="B59" s="590"/>
      <c r="C59" s="590"/>
      <c r="D59" s="590"/>
      <c r="E59" s="590"/>
      <c r="F59" s="590"/>
      <c r="G59" s="590"/>
      <c r="H59" s="590"/>
      <c r="I59" s="590"/>
    </row>
    <row r="60" spans="1:15" ht="15" x14ac:dyDescent="0.2">
      <c r="A60" s="26"/>
      <c r="B60" s="26"/>
      <c r="C60" s="20"/>
      <c r="D60" s="32"/>
      <c r="E60" s="26"/>
      <c r="F60" s="26"/>
      <c r="G60" s="26"/>
      <c r="H60" s="26"/>
      <c r="I60" s="27"/>
      <c r="J60" s="460"/>
      <c r="K60" s="460"/>
    </row>
    <row r="61" spans="1:15" ht="29.85" customHeight="1" x14ac:dyDescent="0.2">
      <c r="A61" s="33">
        <v>1</v>
      </c>
      <c r="B61" s="595" t="s">
        <v>25</v>
      </c>
      <c r="C61" s="595"/>
      <c r="D61" s="595"/>
      <c r="E61" s="595"/>
      <c r="F61" s="595"/>
      <c r="G61" s="595"/>
      <c r="H61" s="595"/>
      <c r="I61" s="595"/>
      <c r="J61" s="460"/>
      <c r="K61" s="460"/>
    </row>
    <row r="62" spans="1:15" ht="15" x14ac:dyDescent="0.2">
      <c r="A62" s="34"/>
      <c r="B62" s="35"/>
      <c r="C62" s="35"/>
      <c r="D62" s="36"/>
      <c r="E62" s="35"/>
      <c r="F62" s="35"/>
      <c r="G62" s="35"/>
      <c r="H62" s="35"/>
      <c r="I62" s="37"/>
      <c r="J62" s="460"/>
      <c r="K62" s="460"/>
    </row>
    <row r="63" spans="1:15" ht="16.7" customHeight="1" x14ac:dyDescent="0.2">
      <c r="A63" s="602">
        <v>2</v>
      </c>
      <c r="B63" s="595" t="s">
        <v>26</v>
      </c>
      <c r="C63" s="595"/>
      <c r="D63" s="595"/>
      <c r="E63" s="595"/>
      <c r="F63" s="595"/>
      <c r="G63" s="595"/>
      <c r="H63" s="595"/>
      <c r="I63" s="595"/>
    </row>
    <row r="64" spans="1:15" ht="15.75" customHeight="1" x14ac:dyDescent="0.2">
      <c r="A64" s="602"/>
      <c r="B64" s="595" t="s">
        <v>27</v>
      </c>
      <c r="C64" s="595"/>
      <c r="D64" s="603" t="s">
        <v>28</v>
      </c>
      <c r="E64" s="603"/>
      <c r="F64" s="603"/>
      <c r="G64" s="603"/>
      <c r="H64" s="603"/>
      <c r="I64" s="603"/>
      <c r="J64" s="460"/>
    </row>
    <row r="65" spans="1:9" ht="15.75" customHeight="1" x14ac:dyDescent="0.2">
      <c r="A65" s="602"/>
      <c r="B65" s="595" t="s">
        <v>29</v>
      </c>
      <c r="C65" s="595"/>
      <c r="D65" s="603" t="s">
        <v>30</v>
      </c>
      <c r="E65" s="603"/>
      <c r="F65" s="603"/>
      <c r="G65" s="603"/>
      <c r="H65" s="603"/>
      <c r="I65" s="603"/>
    </row>
    <row r="66" spans="1:9" ht="69.400000000000006" customHeight="1" x14ac:dyDescent="0.2">
      <c r="A66" s="602"/>
      <c r="B66" s="595" t="s">
        <v>31</v>
      </c>
      <c r="C66" s="595"/>
      <c r="D66" s="603" t="s">
        <v>32</v>
      </c>
      <c r="E66" s="603"/>
      <c r="F66" s="603"/>
      <c r="G66" s="603"/>
      <c r="H66" s="603"/>
      <c r="I66" s="603"/>
    </row>
    <row r="67" spans="1:9" ht="15" x14ac:dyDescent="0.2">
      <c r="A67" s="34"/>
      <c r="B67" s="35"/>
      <c r="C67" s="38"/>
      <c r="D67" s="35"/>
      <c r="E67" s="35"/>
      <c r="F67" s="35"/>
      <c r="G67" s="35"/>
      <c r="H67" s="35"/>
      <c r="I67" s="37"/>
    </row>
    <row r="68" spans="1:9" ht="30.75" customHeight="1" x14ac:dyDescent="0.2">
      <c r="A68" s="602">
        <v>3</v>
      </c>
      <c r="B68" s="595" t="s">
        <v>33</v>
      </c>
      <c r="C68" s="595"/>
      <c r="D68" s="595"/>
      <c r="E68" s="595"/>
      <c r="F68" s="595"/>
      <c r="G68" s="595"/>
      <c r="H68" s="595"/>
      <c r="I68" s="595"/>
    </row>
    <row r="69" spans="1:9" ht="15.75" customHeight="1" x14ac:dyDescent="0.2">
      <c r="A69" s="602"/>
      <c r="B69" s="595" t="s">
        <v>27</v>
      </c>
      <c r="C69" s="595"/>
      <c r="D69" s="603" t="s">
        <v>34</v>
      </c>
      <c r="E69" s="603"/>
      <c r="F69" s="603"/>
      <c r="G69" s="603"/>
      <c r="H69" s="603"/>
      <c r="I69" s="603"/>
    </row>
    <row r="70" spans="1:9" ht="15.75" customHeight="1" x14ac:dyDescent="0.2">
      <c r="A70" s="602"/>
      <c r="B70" s="595" t="s">
        <v>29</v>
      </c>
      <c r="C70" s="595"/>
      <c r="D70" s="603" t="s">
        <v>35</v>
      </c>
      <c r="E70" s="603"/>
      <c r="F70" s="603"/>
      <c r="G70" s="603"/>
      <c r="H70" s="603"/>
      <c r="I70" s="603"/>
    </row>
    <row r="71" spans="1:9" ht="15" x14ac:dyDescent="0.2">
      <c r="A71" s="34"/>
      <c r="B71" s="35"/>
      <c r="C71" s="35"/>
      <c r="D71" s="35"/>
      <c r="E71" s="35"/>
      <c r="F71" s="35"/>
      <c r="G71" s="35"/>
      <c r="H71" s="35"/>
      <c r="I71" s="37"/>
    </row>
    <row r="72" spans="1:9" ht="16.7" customHeight="1" x14ac:dyDescent="0.2">
      <c r="A72" s="602">
        <v>4</v>
      </c>
      <c r="B72" s="595" t="s">
        <v>36</v>
      </c>
      <c r="C72" s="595"/>
      <c r="D72" s="595"/>
      <c r="E72" s="595"/>
      <c r="F72" s="595"/>
      <c r="G72" s="595"/>
      <c r="H72" s="595"/>
      <c r="I72" s="595"/>
    </row>
    <row r="73" spans="1:9" ht="15.75" customHeight="1" x14ac:dyDescent="0.2">
      <c r="A73" s="602"/>
      <c r="B73" s="595" t="s">
        <v>27</v>
      </c>
      <c r="C73" s="595"/>
      <c r="D73" s="603" t="s">
        <v>37</v>
      </c>
      <c r="E73" s="603"/>
      <c r="F73" s="603"/>
      <c r="G73" s="603"/>
      <c r="H73" s="603"/>
      <c r="I73" s="603"/>
    </row>
    <row r="74" spans="1:9" ht="15.75" customHeight="1" x14ac:dyDescent="0.2">
      <c r="A74" s="602"/>
      <c r="B74" s="595" t="s">
        <v>29</v>
      </c>
      <c r="C74" s="595"/>
      <c r="D74" s="603" t="s">
        <v>38</v>
      </c>
      <c r="E74" s="603"/>
      <c r="F74" s="603"/>
      <c r="G74" s="603"/>
      <c r="H74" s="603"/>
      <c r="I74" s="603"/>
    </row>
    <row r="75" spans="1:9" ht="16.7" customHeight="1" x14ac:dyDescent="0.2">
      <c r="A75" s="602"/>
      <c r="B75" s="595" t="s">
        <v>39</v>
      </c>
      <c r="C75" s="595"/>
      <c r="D75" s="603" t="s">
        <v>40</v>
      </c>
      <c r="E75" s="603"/>
      <c r="F75" s="603"/>
      <c r="G75" s="603"/>
      <c r="H75" s="603"/>
      <c r="I75" s="603"/>
    </row>
    <row r="76" spans="1:9" ht="15.75" customHeight="1" x14ac:dyDescent="0.2">
      <c r="A76" s="602"/>
      <c r="B76" s="605" t="s">
        <v>41</v>
      </c>
      <c r="C76" s="605"/>
      <c r="D76" s="605"/>
      <c r="E76" s="605"/>
      <c r="F76" s="605"/>
      <c r="G76" s="605"/>
      <c r="H76" s="605"/>
      <c r="I76" s="605"/>
    </row>
    <row r="77" spans="1:9" ht="15" x14ac:dyDescent="0.2">
      <c r="A77" s="34"/>
      <c r="B77" s="35"/>
      <c r="C77" s="38"/>
      <c r="D77" s="35"/>
      <c r="E77" s="35"/>
      <c r="F77" s="35"/>
      <c r="G77" s="35"/>
      <c r="H77" s="35"/>
      <c r="I77" s="37"/>
    </row>
    <row r="78" spans="1:9" ht="30.75" customHeight="1" x14ac:dyDescent="0.2">
      <c r="A78" s="33">
        <v>5</v>
      </c>
      <c r="B78" s="606" t="s">
        <v>42</v>
      </c>
      <c r="C78" s="606"/>
      <c r="D78" s="606"/>
      <c r="E78" s="606"/>
      <c r="F78" s="606"/>
      <c r="G78" s="606"/>
      <c r="H78" s="606"/>
      <c r="I78" s="606"/>
    </row>
    <row r="79" spans="1:9" ht="15" x14ac:dyDescent="0.2">
      <c r="A79" s="39"/>
      <c r="B79" s="39"/>
      <c r="C79" s="40"/>
      <c r="D79" s="41"/>
      <c r="E79" s="39"/>
      <c r="F79" s="39"/>
      <c r="G79" s="39"/>
      <c r="H79" s="39"/>
      <c r="I79" s="42"/>
    </row>
    <row r="80" spans="1:9" ht="15" x14ac:dyDescent="0.2">
      <c r="A80" s="39"/>
      <c r="B80" s="39"/>
      <c r="C80" s="41"/>
      <c r="D80" s="43"/>
      <c r="E80" s="39"/>
      <c r="F80" s="39"/>
      <c r="G80" s="39"/>
      <c r="H80" s="39"/>
      <c r="I80" s="42"/>
    </row>
    <row r="81" spans="1:9" ht="20.100000000000001" customHeight="1" x14ac:dyDescent="0.2">
      <c r="A81" s="590" t="s">
        <v>43</v>
      </c>
      <c r="B81" s="590"/>
      <c r="C81" s="590"/>
      <c r="D81" s="590"/>
      <c r="E81" s="590"/>
      <c r="F81" s="590"/>
      <c r="G81" s="590"/>
      <c r="H81" s="590"/>
      <c r="I81" s="590"/>
    </row>
    <row r="82" spans="1:9" ht="15" x14ac:dyDescent="0.2">
      <c r="A82" s="26"/>
      <c r="B82" s="26"/>
      <c r="C82" s="26"/>
      <c r="D82" s="26"/>
      <c r="E82" s="26"/>
      <c r="F82" s="26"/>
      <c r="G82" s="26"/>
      <c r="H82" s="26"/>
      <c r="I82" s="27"/>
    </row>
    <row r="83" spans="1:9" ht="15" x14ac:dyDescent="0.2">
      <c r="A83" s="44">
        <v>1</v>
      </c>
      <c r="B83" s="604" t="s">
        <v>44</v>
      </c>
      <c r="C83" s="604"/>
      <c r="D83" s="604"/>
      <c r="E83" s="604"/>
      <c r="F83" s="604"/>
      <c r="G83" s="604"/>
      <c r="H83" s="604"/>
      <c r="I83" s="604"/>
    </row>
    <row r="84" spans="1:9" ht="15" x14ac:dyDescent="0.2">
      <c r="A84" s="44">
        <v>2</v>
      </c>
      <c r="B84" s="604" t="s">
        <v>45</v>
      </c>
      <c r="C84" s="604"/>
      <c r="D84" s="604"/>
      <c r="E84" s="604"/>
      <c r="F84" s="604"/>
      <c r="G84" s="604"/>
      <c r="H84" s="604"/>
      <c r="I84" s="604"/>
    </row>
    <row r="85" spans="1:9" ht="15" x14ac:dyDescent="0.2">
      <c r="A85" s="44">
        <v>3</v>
      </c>
      <c r="B85" s="604" t="s">
        <v>46</v>
      </c>
      <c r="C85" s="604"/>
      <c r="D85" s="604"/>
      <c r="E85" s="604"/>
      <c r="F85" s="604"/>
      <c r="G85" s="604"/>
      <c r="H85" s="604"/>
      <c r="I85" s="604"/>
    </row>
    <row r="86" spans="1:9" ht="15" x14ac:dyDescent="0.2">
      <c r="A86" s="44">
        <v>4</v>
      </c>
      <c r="B86" s="604" t="s">
        <v>47</v>
      </c>
      <c r="C86" s="604"/>
      <c r="D86" s="604"/>
      <c r="E86" s="604"/>
      <c r="F86" s="604"/>
      <c r="G86" s="604"/>
      <c r="H86" s="604"/>
      <c r="I86" s="604"/>
    </row>
    <row r="87" spans="1:9" ht="15" x14ac:dyDescent="0.2">
      <c r="A87" s="45"/>
      <c r="B87" s="30"/>
      <c r="C87" s="30"/>
      <c r="D87" s="30"/>
      <c r="E87" s="30"/>
      <c r="F87" s="30"/>
      <c r="G87" s="30"/>
      <c r="H87" s="30"/>
      <c r="I87" s="31"/>
    </row>
    <row r="88" spans="1:9" ht="15" x14ac:dyDescent="0.2">
      <c r="A88" s="609">
        <v>5</v>
      </c>
      <c r="B88" s="610" t="s">
        <v>48</v>
      </c>
      <c r="C88" s="610"/>
      <c r="D88" s="610"/>
      <c r="E88" s="610"/>
      <c r="F88" s="610"/>
      <c r="G88" s="610"/>
      <c r="H88" s="610"/>
      <c r="I88" s="610"/>
    </row>
    <row r="89" spans="1:9" ht="15" x14ac:dyDescent="0.2">
      <c r="A89" s="609"/>
      <c r="B89" s="604" t="s">
        <v>49</v>
      </c>
      <c r="C89" s="604"/>
      <c r="D89" s="604"/>
      <c r="E89" s="604"/>
      <c r="F89" s="604"/>
      <c r="G89" s="604"/>
      <c r="H89" s="604"/>
      <c r="I89" s="604"/>
    </row>
    <row r="90" spans="1:9" ht="15" x14ac:dyDescent="0.2">
      <c r="A90" s="45"/>
      <c r="B90" s="30"/>
      <c r="C90" s="30"/>
      <c r="D90" s="30"/>
      <c r="E90" s="30"/>
      <c r="F90" s="30"/>
      <c r="G90" s="30"/>
      <c r="H90" s="30"/>
      <c r="I90" s="31"/>
    </row>
    <row r="91" spans="1:9" ht="15" x14ac:dyDescent="0.2">
      <c r="A91" s="609">
        <v>6</v>
      </c>
      <c r="B91" s="610" t="s">
        <v>50</v>
      </c>
      <c r="C91" s="610"/>
      <c r="D91" s="610"/>
      <c r="E91" s="610"/>
      <c r="F91" s="610"/>
      <c r="G91" s="610"/>
      <c r="H91" s="610"/>
      <c r="I91" s="610"/>
    </row>
    <row r="92" spans="1:9" ht="15" x14ac:dyDescent="0.2">
      <c r="A92" s="609"/>
      <c r="B92" s="604" t="s">
        <v>51</v>
      </c>
      <c r="C92" s="604"/>
      <c r="D92" s="604"/>
      <c r="E92" s="604"/>
      <c r="F92" s="604"/>
      <c r="G92" s="604"/>
      <c r="H92" s="604"/>
      <c r="I92" s="604"/>
    </row>
    <row r="93" spans="1:9" ht="15" x14ac:dyDescent="0.2">
      <c r="A93" s="609"/>
      <c r="B93" s="604" t="s">
        <v>52</v>
      </c>
      <c r="C93" s="604"/>
      <c r="D93" s="604"/>
      <c r="E93" s="604"/>
      <c r="F93" s="604"/>
      <c r="G93" s="604"/>
      <c r="H93" s="604"/>
      <c r="I93" s="604"/>
    </row>
    <row r="94" spans="1:9" ht="15" x14ac:dyDescent="0.2">
      <c r="A94" s="609"/>
      <c r="B94" s="604" t="s">
        <v>53</v>
      </c>
      <c r="C94" s="604"/>
      <c r="D94" s="604"/>
      <c r="E94" s="604"/>
      <c r="F94" s="604"/>
      <c r="G94" s="604"/>
      <c r="H94" s="604"/>
      <c r="I94" s="604"/>
    </row>
    <row r="95" spans="1:9" ht="15" x14ac:dyDescent="0.2">
      <c r="A95" s="609"/>
      <c r="B95" s="604" t="s">
        <v>54</v>
      </c>
      <c r="C95" s="604"/>
      <c r="D95" s="604"/>
      <c r="E95" s="604"/>
      <c r="F95" s="604"/>
      <c r="G95" s="604"/>
      <c r="H95" s="604"/>
      <c r="I95" s="604"/>
    </row>
    <row r="96" spans="1:9" ht="15" x14ac:dyDescent="0.2">
      <c r="A96" s="609"/>
      <c r="B96" s="604" t="s">
        <v>55</v>
      </c>
      <c r="C96" s="604"/>
      <c r="D96" s="604"/>
      <c r="E96" s="604"/>
      <c r="F96" s="604"/>
      <c r="G96" s="604"/>
      <c r="H96" s="604"/>
      <c r="I96" s="604"/>
    </row>
    <row r="97" spans="1:9" ht="15" x14ac:dyDescent="0.2">
      <c r="A97" s="609"/>
      <c r="B97" s="604" t="s">
        <v>56</v>
      </c>
      <c r="C97" s="604"/>
      <c r="D97" s="604"/>
      <c r="E97" s="604"/>
      <c r="F97" s="604"/>
      <c r="G97" s="604"/>
      <c r="H97" s="604"/>
      <c r="I97" s="604"/>
    </row>
    <row r="98" spans="1:9" ht="15" x14ac:dyDescent="0.2">
      <c r="A98" s="30"/>
      <c r="B98" s="30"/>
      <c r="C98" s="30"/>
      <c r="D98" s="30"/>
      <c r="E98" s="30"/>
      <c r="F98" s="30"/>
      <c r="G98" s="30"/>
      <c r="H98" s="30"/>
      <c r="I98" s="31"/>
    </row>
    <row r="99" spans="1:9" ht="15" x14ac:dyDescent="0.2">
      <c r="A99" s="30"/>
      <c r="B99" s="30"/>
      <c r="C99" s="30"/>
      <c r="D99" s="30"/>
      <c r="E99" s="30"/>
      <c r="F99" s="30"/>
      <c r="G99" s="30"/>
      <c r="H99" s="30"/>
      <c r="I99" s="31"/>
    </row>
    <row r="100" spans="1:9" ht="15" x14ac:dyDescent="0.2">
      <c r="A100" s="30"/>
      <c r="B100" s="30"/>
      <c r="C100" s="30"/>
      <c r="D100" s="30"/>
      <c r="E100" s="30"/>
      <c r="F100" s="30"/>
      <c r="G100" s="30"/>
      <c r="H100" s="30"/>
      <c r="I100" s="31"/>
    </row>
    <row r="101" spans="1:9" ht="15" x14ac:dyDescent="0.2">
      <c r="A101" s="30"/>
      <c r="B101" s="30"/>
      <c r="C101" s="30"/>
      <c r="D101" s="30"/>
      <c r="E101" s="30"/>
      <c r="F101" s="30"/>
      <c r="G101" s="30"/>
      <c r="H101" s="30"/>
      <c r="I101" s="31"/>
    </row>
    <row r="102" spans="1:9" ht="15" x14ac:dyDescent="0.2">
      <c r="A102" s="30"/>
      <c r="B102" s="30"/>
      <c r="C102" s="30"/>
      <c r="D102" s="607" t="s">
        <v>57</v>
      </c>
      <c r="E102" s="607"/>
      <c r="F102" s="607"/>
      <c r="G102" s="607"/>
      <c r="H102" s="30"/>
      <c r="I102" s="31"/>
    </row>
    <row r="103" spans="1:9" ht="15" x14ac:dyDescent="0.2">
      <c r="A103" s="26"/>
      <c r="B103" s="26"/>
      <c r="C103" s="26"/>
      <c r="D103" s="26"/>
      <c r="E103" s="26"/>
      <c r="F103" s="26"/>
      <c r="G103" s="26"/>
      <c r="H103" s="26"/>
      <c r="I103" s="27"/>
    </row>
    <row r="104" spans="1:9" ht="15" x14ac:dyDescent="0.2">
      <c r="A104" s="26"/>
      <c r="B104" s="26"/>
      <c r="C104" s="26"/>
      <c r="D104" s="26"/>
      <c r="E104" s="26"/>
      <c r="F104" s="26"/>
      <c r="G104" s="26"/>
      <c r="H104" s="26"/>
      <c r="I104" s="27"/>
    </row>
    <row r="105" spans="1:9" ht="15" x14ac:dyDescent="0.2">
      <c r="A105" s="26"/>
      <c r="B105" s="26"/>
      <c r="C105" s="26"/>
      <c r="D105" s="26"/>
      <c r="E105" s="26"/>
      <c r="F105" s="26"/>
      <c r="G105" s="26"/>
      <c r="H105" s="26"/>
      <c r="I105" s="27"/>
    </row>
    <row r="106" spans="1:9" ht="15" x14ac:dyDescent="0.2">
      <c r="A106" s="26"/>
      <c r="B106" s="26"/>
      <c r="C106" s="26"/>
      <c r="D106" s="26"/>
      <c r="E106" s="26"/>
      <c r="F106" s="26"/>
      <c r="G106" s="26"/>
      <c r="H106" s="26"/>
      <c r="I106" s="27"/>
    </row>
    <row r="107" spans="1:9" ht="15" x14ac:dyDescent="0.2">
      <c r="A107" s="26"/>
      <c r="B107" s="26"/>
      <c r="C107" s="26"/>
      <c r="D107" s="26"/>
      <c r="E107" s="26"/>
      <c r="F107" s="26"/>
      <c r="G107" s="26"/>
      <c r="H107" s="26"/>
      <c r="I107" s="27"/>
    </row>
    <row r="108" spans="1:9" ht="15" x14ac:dyDescent="0.2">
      <c r="A108" s="26"/>
      <c r="B108" s="26"/>
      <c r="C108" s="26"/>
      <c r="D108" s="26"/>
      <c r="E108" s="26"/>
      <c r="F108" s="26"/>
      <c r="G108" s="26"/>
      <c r="H108" s="26"/>
      <c r="I108" s="27"/>
    </row>
    <row r="109" spans="1:9" ht="15" x14ac:dyDescent="0.2">
      <c r="A109" s="26"/>
      <c r="B109" s="26"/>
      <c r="C109" s="26"/>
      <c r="D109" s="26"/>
      <c r="E109" s="26"/>
      <c r="F109" s="26"/>
      <c r="G109" s="26"/>
      <c r="H109" s="26"/>
      <c r="I109" s="27"/>
    </row>
    <row r="110" spans="1:9" ht="15" x14ac:dyDescent="0.2">
      <c r="A110" s="26"/>
      <c r="B110" s="26"/>
      <c r="C110" s="26"/>
      <c r="D110" s="26"/>
      <c r="E110" s="26"/>
      <c r="F110" s="26"/>
      <c r="G110" s="26"/>
      <c r="H110" s="26"/>
      <c r="I110" s="27"/>
    </row>
    <row r="111" spans="1:9" ht="15" x14ac:dyDescent="0.2">
      <c r="A111" s="26"/>
      <c r="B111" s="26"/>
      <c r="C111" s="26"/>
      <c r="D111" s="26"/>
      <c r="E111" s="26"/>
      <c r="F111" s="26"/>
      <c r="G111" s="26"/>
      <c r="H111" s="26"/>
      <c r="I111" s="27"/>
    </row>
    <row r="112" spans="1:9" ht="15" x14ac:dyDescent="0.2">
      <c r="A112" s="26"/>
      <c r="B112" s="26"/>
      <c r="C112" s="26"/>
      <c r="D112" s="26"/>
      <c r="E112" s="26"/>
      <c r="F112" s="26"/>
      <c r="G112" s="26"/>
      <c r="H112" s="26"/>
      <c r="I112" s="27"/>
    </row>
    <row r="113" spans="1:9" ht="15" x14ac:dyDescent="0.2">
      <c r="A113" s="26"/>
      <c r="B113" s="26"/>
      <c r="C113" s="26"/>
      <c r="D113" s="26"/>
      <c r="E113" s="26"/>
      <c r="F113" s="26"/>
      <c r="G113" s="26"/>
      <c r="H113" s="26"/>
      <c r="I113" s="27"/>
    </row>
    <row r="114" spans="1:9" ht="15" x14ac:dyDescent="0.2">
      <c r="A114" s="26"/>
      <c r="B114" s="26"/>
      <c r="C114" s="26"/>
      <c r="D114" s="26"/>
      <c r="E114" s="26"/>
      <c r="F114" s="26"/>
      <c r="G114" s="26"/>
      <c r="H114" s="26"/>
      <c r="I114" s="27"/>
    </row>
    <row r="115" spans="1:9" ht="15" x14ac:dyDescent="0.2">
      <c r="A115" s="26"/>
      <c r="B115" s="26"/>
      <c r="C115" s="26"/>
      <c r="D115" s="26"/>
      <c r="E115" s="26"/>
      <c r="F115" s="26"/>
      <c r="G115" s="26"/>
      <c r="H115" s="26"/>
      <c r="I115" s="27"/>
    </row>
    <row r="116" spans="1:9" ht="15" x14ac:dyDescent="0.2">
      <c r="A116" s="26"/>
      <c r="B116" s="26"/>
      <c r="C116" s="26"/>
      <c r="D116" s="26"/>
      <c r="E116" s="26"/>
      <c r="F116" s="26"/>
      <c r="G116" s="26"/>
      <c r="H116" s="26"/>
      <c r="I116" s="27"/>
    </row>
    <row r="117" spans="1:9" ht="15" x14ac:dyDescent="0.2">
      <c r="A117" s="26"/>
      <c r="B117" s="26"/>
      <c r="C117" s="26"/>
      <c r="D117" s="26"/>
      <c r="E117" s="26"/>
      <c r="F117" s="26"/>
      <c r="G117" s="26"/>
      <c r="H117" s="26"/>
      <c r="I117" s="27"/>
    </row>
    <row r="118" spans="1:9" ht="15" x14ac:dyDescent="0.2">
      <c r="A118" s="26"/>
      <c r="B118" s="26"/>
      <c r="C118" s="26"/>
      <c r="D118" s="26"/>
      <c r="E118" s="26"/>
      <c r="F118" s="26"/>
      <c r="G118" s="26"/>
      <c r="H118" s="26"/>
      <c r="I118" s="27"/>
    </row>
    <row r="119" spans="1:9" ht="15" x14ac:dyDescent="0.2">
      <c r="A119" s="26"/>
      <c r="B119" s="26"/>
      <c r="C119" s="26"/>
      <c r="D119" s="26"/>
      <c r="E119" s="26"/>
      <c r="F119" s="26"/>
      <c r="G119" s="26"/>
      <c r="H119" s="26"/>
      <c r="I119" s="27"/>
    </row>
    <row r="120" spans="1:9" ht="15" x14ac:dyDescent="0.2">
      <c r="A120" s="26"/>
      <c r="B120" s="26"/>
      <c r="C120" s="26"/>
      <c r="D120" s="26"/>
      <c r="E120" s="26"/>
      <c r="F120" s="26"/>
      <c r="G120" s="26"/>
      <c r="H120" s="26"/>
      <c r="I120" s="27"/>
    </row>
    <row r="121" spans="1:9" ht="15" x14ac:dyDescent="0.2">
      <c r="A121" s="26"/>
      <c r="B121" s="26"/>
      <c r="C121" s="26"/>
      <c r="D121" s="26"/>
      <c r="E121" s="26"/>
      <c r="F121" s="26"/>
      <c r="G121" s="26"/>
      <c r="H121" s="26"/>
      <c r="I121" s="27"/>
    </row>
    <row r="122" spans="1:9" ht="15" x14ac:dyDescent="0.2">
      <c r="A122" s="26"/>
      <c r="B122" s="26"/>
      <c r="C122" s="26"/>
      <c r="D122" s="26"/>
      <c r="E122" s="26"/>
      <c r="F122" s="26"/>
      <c r="G122" s="26"/>
      <c r="H122" s="26"/>
      <c r="I122" s="27"/>
    </row>
    <row r="123" spans="1:9" ht="15" x14ac:dyDescent="0.2">
      <c r="A123" s="26"/>
      <c r="B123" s="26"/>
      <c r="C123" s="26"/>
      <c r="D123" s="26"/>
      <c r="E123" s="26"/>
      <c r="F123" s="26"/>
      <c r="G123" s="26"/>
      <c r="H123" s="26"/>
      <c r="I123" s="27"/>
    </row>
    <row r="124" spans="1:9" ht="15" x14ac:dyDescent="0.2">
      <c r="A124" s="26"/>
      <c r="B124" s="26"/>
      <c r="C124" s="26"/>
      <c r="D124" s="26"/>
      <c r="E124" s="26"/>
      <c r="F124" s="26"/>
      <c r="G124" s="26"/>
      <c r="H124" s="26"/>
      <c r="I124" s="27"/>
    </row>
    <row r="125" spans="1:9" ht="15" x14ac:dyDescent="0.2">
      <c r="A125" s="26"/>
      <c r="B125" s="26"/>
      <c r="C125" s="26"/>
      <c r="D125" s="26"/>
      <c r="E125" s="26"/>
      <c r="F125" s="26"/>
      <c r="G125" s="26"/>
      <c r="H125" s="26"/>
      <c r="I125" s="27"/>
    </row>
    <row r="126" spans="1:9" ht="15" x14ac:dyDescent="0.2">
      <c r="A126" s="26"/>
      <c r="B126" s="26"/>
      <c r="C126" s="26"/>
      <c r="D126" s="26"/>
      <c r="E126" s="26"/>
      <c r="F126" s="26"/>
      <c r="G126" s="26"/>
      <c r="H126" s="26"/>
      <c r="I126" s="27"/>
    </row>
    <row r="127" spans="1:9" ht="15" x14ac:dyDescent="0.2">
      <c r="A127" s="26"/>
      <c r="B127" s="26"/>
      <c r="C127" s="26"/>
      <c r="D127" s="26"/>
      <c r="E127" s="26"/>
      <c r="F127" s="26"/>
      <c r="G127" s="26"/>
      <c r="H127" s="26"/>
      <c r="I127" s="27"/>
    </row>
    <row r="128" spans="1:9" ht="15" x14ac:dyDescent="0.2">
      <c r="A128" s="26"/>
      <c r="B128" s="26"/>
      <c r="C128" s="26"/>
      <c r="D128" s="26"/>
      <c r="E128" s="26"/>
      <c r="F128" s="26"/>
      <c r="G128" s="26"/>
      <c r="H128" s="26"/>
      <c r="I128" s="27"/>
    </row>
    <row r="129" spans="1:9" ht="15" x14ac:dyDescent="0.2">
      <c r="A129" s="26"/>
      <c r="B129" s="26"/>
      <c r="C129" s="26"/>
      <c r="D129" s="26"/>
      <c r="E129" s="26"/>
      <c r="F129" s="26"/>
      <c r="G129" s="26"/>
      <c r="H129" s="26"/>
      <c r="I129" s="27"/>
    </row>
    <row r="130" spans="1:9" ht="15" x14ac:dyDescent="0.2">
      <c r="A130" s="26"/>
      <c r="B130" s="26"/>
      <c r="C130" s="26"/>
      <c r="D130" s="26"/>
      <c r="E130" s="26"/>
      <c r="F130" s="26"/>
      <c r="G130" s="26"/>
      <c r="H130" s="26"/>
      <c r="I130" s="27"/>
    </row>
    <row r="131" spans="1:9" ht="15" x14ac:dyDescent="0.2">
      <c r="A131" s="26"/>
      <c r="B131" s="26"/>
      <c r="C131" s="26"/>
      <c r="D131" s="26"/>
      <c r="E131" s="26"/>
      <c r="F131" s="26"/>
      <c r="G131" s="26"/>
      <c r="H131" s="26"/>
      <c r="I131" s="27"/>
    </row>
    <row r="132" spans="1:9" ht="15" x14ac:dyDescent="0.2">
      <c r="A132" s="26"/>
      <c r="B132" s="26"/>
      <c r="C132" s="26"/>
      <c r="D132" s="26"/>
      <c r="E132" s="26"/>
      <c r="F132" s="26"/>
      <c r="G132" s="26"/>
      <c r="H132" s="26"/>
      <c r="I132" s="27"/>
    </row>
    <row r="133" spans="1:9" ht="15" x14ac:dyDescent="0.2">
      <c r="A133" s="26"/>
      <c r="B133" s="26"/>
      <c r="C133" s="26"/>
      <c r="D133" s="26"/>
      <c r="E133" s="26"/>
      <c r="F133" s="26"/>
      <c r="G133" s="26"/>
      <c r="H133" s="26"/>
      <c r="I133" s="27"/>
    </row>
    <row r="134" spans="1:9" ht="15" x14ac:dyDescent="0.2">
      <c r="A134" s="26"/>
      <c r="B134" s="26"/>
      <c r="C134" s="26"/>
      <c r="D134" s="26"/>
      <c r="E134" s="26"/>
      <c r="F134" s="26"/>
      <c r="G134" s="26"/>
      <c r="H134" s="26"/>
      <c r="I134" s="27"/>
    </row>
    <row r="135" spans="1:9" ht="15" x14ac:dyDescent="0.2">
      <c r="A135" s="26"/>
      <c r="B135" s="26"/>
      <c r="C135" s="26"/>
      <c r="D135" s="26"/>
      <c r="E135" s="26"/>
      <c r="F135" s="26"/>
      <c r="G135" s="26"/>
      <c r="H135" s="26"/>
      <c r="I135" s="27"/>
    </row>
    <row r="136" spans="1:9" ht="15" x14ac:dyDescent="0.2">
      <c r="A136" s="26"/>
      <c r="B136" s="26"/>
      <c r="C136" s="26"/>
      <c r="D136" s="26"/>
      <c r="E136" s="26"/>
      <c r="F136" s="26"/>
      <c r="G136" s="26"/>
      <c r="H136" s="26"/>
      <c r="I136" s="27"/>
    </row>
    <row r="137" spans="1:9" ht="15" x14ac:dyDescent="0.2">
      <c r="A137" s="26"/>
      <c r="B137" s="26"/>
      <c r="C137" s="26"/>
      <c r="D137" s="26"/>
      <c r="E137" s="26"/>
      <c r="F137" s="26"/>
      <c r="G137" s="26"/>
      <c r="H137" s="26"/>
      <c r="I137" s="27"/>
    </row>
    <row r="138" spans="1:9" ht="15" x14ac:dyDescent="0.2">
      <c r="A138" s="26"/>
      <c r="B138" s="26"/>
      <c r="C138" s="26"/>
      <c r="D138" s="26"/>
      <c r="E138" s="26"/>
      <c r="F138" s="26"/>
      <c r="G138" s="26"/>
      <c r="H138" s="26"/>
      <c r="I138" s="27"/>
    </row>
    <row r="139" spans="1:9" ht="15" x14ac:dyDescent="0.2">
      <c r="A139" s="26"/>
      <c r="B139" s="26"/>
      <c r="C139" s="26"/>
      <c r="D139" s="26"/>
      <c r="E139" s="26"/>
      <c r="F139" s="26"/>
      <c r="G139" s="26"/>
      <c r="H139" s="26"/>
      <c r="I139" s="27"/>
    </row>
    <row r="140" spans="1:9" ht="15" x14ac:dyDescent="0.2">
      <c r="A140" s="26"/>
      <c r="B140" s="26"/>
      <c r="C140" s="26"/>
      <c r="D140" s="26"/>
      <c r="E140" s="26"/>
      <c r="F140" s="26"/>
      <c r="G140" s="26"/>
      <c r="H140" s="26"/>
      <c r="I140" s="27"/>
    </row>
    <row r="141" spans="1:9" ht="15" x14ac:dyDescent="0.2">
      <c r="A141" s="26"/>
      <c r="B141" s="26"/>
      <c r="C141" s="26"/>
      <c r="D141" s="26"/>
      <c r="E141" s="26"/>
      <c r="F141" s="26"/>
      <c r="G141" s="26"/>
      <c r="H141" s="26"/>
      <c r="I141" s="27"/>
    </row>
    <row r="142" spans="1:9" ht="15" x14ac:dyDescent="0.2">
      <c r="A142" s="26"/>
      <c r="B142" s="26"/>
      <c r="C142" s="26"/>
      <c r="D142" s="26"/>
      <c r="E142" s="26"/>
      <c r="F142" s="26"/>
      <c r="G142" s="26"/>
      <c r="H142" s="26"/>
      <c r="I142" s="27"/>
    </row>
    <row r="143" spans="1:9" ht="15" x14ac:dyDescent="0.2">
      <c r="A143" s="26"/>
      <c r="B143" s="26"/>
      <c r="C143" s="26"/>
      <c r="D143" s="26"/>
      <c r="E143" s="26"/>
      <c r="F143" s="26"/>
      <c r="G143" s="26"/>
      <c r="H143" s="26"/>
      <c r="I143" s="27"/>
    </row>
    <row r="144" spans="1:9" ht="15" x14ac:dyDescent="0.2">
      <c r="A144" s="26"/>
      <c r="B144" s="26"/>
      <c r="C144" s="26"/>
      <c r="D144" s="26"/>
      <c r="E144" s="26"/>
      <c r="F144" s="26"/>
      <c r="G144" s="26"/>
      <c r="H144" s="26"/>
      <c r="I144" s="27"/>
    </row>
    <row r="145" spans="1:9" ht="15" x14ac:dyDescent="0.2">
      <c r="A145" s="26"/>
      <c r="B145" s="26"/>
      <c r="C145" s="26"/>
      <c r="D145" s="26"/>
      <c r="E145" s="26"/>
      <c r="F145" s="26"/>
      <c r="G145" s="26"/>
      <c r="H145" s="26"/>
      <c r="I145" s="27"/>
    </row>
    <row r="146" spans="1:9" ht="15" x14ac:dyDescent="0.2">
      <c r="A146" s="26"/>
      <c r="B146" s="26"/>
      <c r="C146" s="26"/>
      <c r="D146" s="26"/>
      <c r="E146" s="26"/>
      <c r="F146" s="26"/>
      <c r="G146" s="26"/>
      <c r="H146" s="26"/>
      <c r="I146" s="27"/>
    </row>
    <row r="147" spans="1:9" ht="15" x14ac:dyDescent="0.2">
      <c r="A147" s="26"/>
      <c r="B147" s="26"/>
      <c r="C147" s="26"/>
      <c r="D147" s="26"/>
      <c r="E147" s="26"/>
      <c r="F147" s="26"/>
      <c r="G147" s="26"/>
      <c r="H147" s="26"/>
      <c r="I147" s="27"/>
    </row>
    <row r="148" spans="1:9" ht="15" x14ac:dyDescent="0.2">
      <c r="A148" s="26"/>
      <c r="B148" s="26"/>
      <c r="C148" s="26"/>
      <c r="D148" s="26"/>
      <c r="E148" s="26"/>
      <c r="F148" s="26"/>
      <c r="G148" s="26"/>
      <c r="H148" s="26"/>
      <c r="I148" s="27"/>
    </row>
    <row r="149" spans="1:9" ht="15" x14ac:dyDescent="0.2">
      <c r="A149" s="26"/>
      <c r="B149" s="26"/>
      <c r="C149" s="26"/>
      <c r="D149" s="26"/>
      <c r="E149" s="26"/>
      <c r="F149" s="26"/>
      <c r="G149" s="26"/>
      <c r="H149" s="26"/>
      <c r="I149" s="27"/>
    </row>
    <row r="150" spans="1:9" ht="15" x14ac:dyDescent="0.2">
      <c r="A150" s="26"/>
      <c r="B150" s="26"/>
      <c r="C150" s="26"/>
      <c r="D150" s="26"/>
      <c r="E150" s="26"/>
      <c r="F150" s="26"/>
      <c r="G150" s="26"/>
      <c r="H150" s="26"/>
      <c r="I150" s="27"/>
    </row>
    <row r="151" spans="1:9" ht="15" x14ac:dyDescent="0.2">
      <c r="A151" s="26"/>
      <c r="B151" s="26"/>
      <c r="C151" s="26"/>
      <c r="D151" s="26"/>
      <c r="E151" s="26"/>
      <c r="F151" s="26"/>
      <c r="G151" s="26"/>
      <c r="H151" s="26"/>
      <c r="I151" s="27"/>
    </row>
    <row r="152" spans="1:9" ht="15" x14ac:dyDescent="0.2">
      <c r="A152" s="26"/>
      <c r="B152" s="26"/>
      <c r="C152" s="26"/>
      <c r="D152" s="26"/>
      <c r="E152" s="26"/>
      <c r="F152" s="26"/>
      <c r="G152" s="26"/>
      <c r="H152" s="26"/>
      <c r="I152" s="27"/>
    </row>
    <row r="153" spans="1:9" ht="15" x14ac:dyDescent="0.2">
      <c r="A153" s="26"/>
      <c r="B153" s="26"/>
      <c r="C153" s="26"/>
      <c r="D153" s="26"/>
      <c r="E153" s="26"/>
      <c r="F153" s="26"/>
      <c r="G153" s="26"/>
      <c r="H153" s="26"/>
      <c r="I153" s="27"/>
    </row>
    <row r="154" spans="1:9" ht="15" x14ac:dyDescent="0.2">
      <c r="A154" s="26"/>
      <c r="B154" s="26"/>
      <c r="C154" s="26"/>
      <c r="D154" s="26"/>
      <c r="E154" s="26"/>
      <c r="F154" s="26"/>
      <c r="G154" s="26"/>
      <c r="H154" s="26"/>
      <c r="I154" s="27"/>
    </row>
    <row r="155" spans="1:9" ht="15" x14ac:dyDescent="0.2">
      <c r="A155" s="26"/>
      <c r="B155" s="26"/>
      <c r="C155" s="26"/>
      <c r="D155" s="26"/>
      <c r="E155" s="26"/>
      <c r="F155" s="26"/>
      <c r="G155" s="26"/>
      <c r="H155" s="26"/>
      <c r="I155" s="27"/>
    </row>
    <row r="156" spans="1:9" ht="15" x14ac:dyDescent="0.2">
      <c r="A156" s="26"/>
      <c r="B156" s="26"/>
      <c r="C156" s="26"/>
      <c r="D156" s="26"/>
      <c r="E156" s="26"/>
      <c r="F156" s="26"/>
      <c r="G156" s="26"/>
      <c r="H156" s="26"/>
      <c r="I156" s="27"/>
    </row>
    <row r="157" spans="1:9" ht="15" x14ac:dyDescent="0.2">
      <c r="A157" s="26"/>
      <c r="B157" s="26"/>
      <c r="C157" s="26"/>
      <c r="D157" s="26"/>
      <c r="E157" s="26"/>
      <c r="F157" s="26"/>
      <c r="G157" s="26"/>
      <c r="H157" s="26"/>
      <c r="I157" s="27"/>
    </row>
    <row r="158" spans="1:9" ht="15" x14ac:dyDescent="0.2">
      <c r="A158" s="26"/>
      <c r="B158" s="26"/>
      <c r="C158" s="26"/>
      <c r="D158" s="26"/>
      <c r="E158" s="26"/>
      <c r="F158" s="26"/>
      <c r="G158" s="26"/>
      <c r="H158" s="26"/>
      <c r="I158" s="27"/>
    </row>
    <row r="159" spans="1:9" ht="15" x14ac:dyDescent="0.2">
      <c r="A159" s="26"/>
      <c r="B159" s="26"/>
      <c r="C159" s="26"/>
      <c r="D159" s="26"/>
      <c r="E159" s="26"/>
      <c r="F159" s="26"/>
      <c r="G159" s="26"/>
      <c r="H159" s="26"/>
      <c r="I159" s="27"/>
    </row>
    <row r="160" spans="1:9" ht="15" x14ac:dyDescent="0.2">
      <c r="A160" s="26"/>
      <c r="B160" s="26"/>
      <c r="C160" s="26"/>
      <c r="D160" s="26"/>
      <c r="E160" s="26"/>
      <c r="F160" s="26"/>
      <c r="G160" s="26"/>
      <c r="H160" s="26"/>
      <c r="I160" s="27"/>
    </row>
    <row r="161" spans="1:9" ht="15" x14ac:dyDescent="0.2">
      <c r="A161" s="26"/>
      <c r="B161" s="26"/>
      <c r="C161" s="26"/>
      <c r="D161" s="26"/>
      <c r="E161" s="26"/>
      <c r="F161" s="26"/>
      <c r="G161" s="26"/>
      <c r="H161" s="26"/>
      <c r="I161" s="27"/>
    </row>
    <row r="162" spans="1:9" ht="15" x14ac:dyDescent="0.2">
      <c r="A162" s="26"/>
      <c r="B162" s="26"/>
      <c r="C162" s="26"/>
      <c r="D162" s="26"/>
      <c r="E162" s="26"/>
      <c r="F162" s="26"/>
      <c r="G162" s="26"/>
      <c r="H162" s="26"/>
      <c r="I162" s="27"/>
    </row>
    <row r="163" spans="1:9" ht="15" x14ac:dyDescent="0.2">
      <c r="A163" s="26"/>
      <c r="B163" s="26"/>
      <c r="C163" s="26"/>
      <c r="D163" s="26"/>
      <c r="E163" s="26"/>
      <c r="F163" s="26"/>
      <c r="G163" s="26"/>
      <c r="H163" s="26"/>
      <c r="I163" s="27"/>
    </row>
    <row r="164" spans="1:9" ht="15" x14ac:dyDescent="0.2">
      <c r="A164" s="26"/>
      <c r="B164" s="26"/>
      <c r="C164" s="26"/>
      <c r="D164" s="26"/>
      <c r="E164" s="26"/>
      <c r="F164" s="26"/>
      <c r="G164" s="26"/>
      <c r="H164" s="26"/>
      <c r="I164" s="27"/>
    </row>
    <row r="165" spans="1:9" ht="15" x14ac:dyDescent="0.2">
      <c r="A165" s="26"/>
      <c r="B165" s="26"/>
      <c r="C165" s="26"/>
      <c r="D165" s="26"/>
      <c r="E165" s="26"/>
      <c r="F165" s="26"/>
      <c r="G165" s="26"/>
      <c r="H165" s="26"/>
      <c r="I165" s="27"/>
    </row>
    <row r="166" spans="1:9" ht="15" x14ac:dyDescent="0.2">
      <c r="A166" s="26"/>
      <c r="B166" s="26"/>
      <c r="C166" s="26"/>
      <c r="D166" s="26"/>
      <c r="E166" s="26"/>
      <c r="F166" s="26"/>
      <c r="G166" s="26"/>
      <c r="H166" s="26"/>
      <c r="I166" s="27"/>
    </row>
    <row r="167" spans="1:9" ht="15" x14ac:dyDescent="0.2">
      <c r="A167" s="26"/>
      <c r="B167" s="26"/>
      <c r="C167" s="26"/>
      <c r="D167" s="26"/>
      <c r="E167" s="26"/>
      <c r="F167" s="26"/>
      <c r="G167" s="26"/>
      <c r="H167" s="26"/>
      <c r="I167" s="27"/>
    </row>
    <row r="168" spans="1:9" ht="15" x14ac:dyDescent="0.2">
      <c r="A168" s="26"/>
      <c r="B168" s="26"/>
      <c r="C168" s="26"/>
      <c r="D168" s="26"/>
      <c r="E168" s="26"/>
      <c r="F168" s="26"/>
      <c r="G168" s="26"/>
      <c r="H168" s="26"/>
      <c r="I168" s="27"/>
    </row>
    <row r="169" spans="1:9" ht="15" x14ac:dyDescent="0.2">
      <c r="A169" s="26"/>
      <c r="B169" s="26"/>
      <c r="C169" s="26"/>
      <c r="D169" s="26"/>
      <c r="E169" s="26"/>
      <c r="F169" s="26"/>
      <c r="G169" s="26"/>
      <c r="H169" s="26"/>
      <c r="I169" s="27"/>
    </row>
    <row r="170" spans="1:9" ht="15" x14ac:dyDescent="0.2">
      <c r="A170" s="26"/>
      <c r="B170" s="26"/>
      <c r="C170" s="26"/>
      <c r="D170" s="26"/>
      <c r="E170" s="26"/>
      <c r="F170" s="26"/>
      <c r="G170" s="26"/>
      <c r="H170" s="26"/>
      <c r="I170" s="27"/>
    </row>
    <row r="171" spans="1:9" x14ac:dyDescent="0.2">
      <c r="A171" s="2" t="s">
        <v>58</v>
      </c>
    </row>
    <row r="172" spans="1:9" x14ac:dyDescent="0.2">
      <c r="A172" s="2" t="s">
        <v>59</v>
      </c>
    </row>
    <row r="173" spans="1:9" x14ac:dyDescent="0.2">
      <c r="A173" s="46" t="s">
        <v>60</v>
      </c>
    </row>
    <row r="174" spans="1:9" x14ac:dyDescent="0.2">
      <c r="A174" s="46" t="s">
        <v>61</v>
      </c>
    </row>
    <row r="175" spans="1:9" x14ac:dyDescent="0.2">
      <c r="A175" s="46" t="s">
        <v>62</v>
      </c>
    </row>
    <row r="176" spans="1:9" x14ac:dyDescent="0.2">
      <c r="A176" s="46" t="s">
        <v>63</v>
      </c>
    </row>
    <row r="177" spans="1:9" x14ac:dyDescent="0.2">
      <c r="A177" s="46" t="s">
        <v>64</v>
      </c>
    </row>
    <row r="178" spans="1:9" x14ac:dyDescent="0.2">
      <c r="A178" s="46" t="s">
        <v>65</v>
      </c>
    </row>
    <row r="179" spans="1:9" x14ac:dyDescent="0.2">
      <c r="A179" s="46" t="s">
        <v>66</v>
      </c>
    </row>
    <row r="180" spans="1:9" x14ac:dyDescent="0.2">
      <c r="A180" s="46" t="s">
        <v>67</v>
      </c>
    </row>
    <row r="181" spans="1:9" x14ac:dyDescent="0.2">
      <c r="A181" s="46" t="s">
        <v>68</v>
      </c>
    </row>
    <row r="182" spans="1:9" x14ac:dyDescent="0.2">
      <c r="A182" s="46" t="s">
        <v>69</v>
      </c>
    </row>
    <row r="183" spans="1:9" x14ac:dyDescent="0.2">
      <c r="A183" s="46" t="s">
        <v>70</v>
      </c>
    </row>
    <row r="184" spans="1:9" x14ac:dyDescent="0.2">
      <c r="A184" s="46"/>
      <c r="B184" s="46"/>
    </row>
    <row r="185" spans="1:9" x14ac:dyDescent="0.2">
      <c r="B185" s="608" t="s">
        <v>57</v>
      </c>
      <c r="C185" s="608"/>
      <c r="D185" s="608"/>
      <c r="E185" s="608"/>
      <c r="F185" s="608"/>
      <c r="G185" s="608"/>
      <c r="H185" s="608"/>
      <c r="I185" s="608"/>
    </row>
  </sheetData>
  <mergeCells count="65">
    <mergeCell ref="A32:I32"/>
    <mergeCell ref="A34:A39"/>
    <mergeCell ref="A40:G40"/>
    <mergeCell ref="A41:G41"/>
    <mergeCell ref="A21:I21"/>
    <mergeCell ref="A30:G30"/>
    <mergeCell ref="A29:G29"/>
    <mergeCell ref="A23:A28"/>
    <mergeCell ref="B97:I97"/>
    <mergeCell ref="D102:G102"/>
    <mergeCell ref="B185:I185"/>
    <mergeCell ref="A88:A89"/>
    <mergeCell ref="B88:I88"/>
    <mergeCell ref="B89:I89"/>
    <mergeCell ref="A91:A97"/>
    <mergeCell ref="B91:I91"/>
    <mergeCell ref="B92:I92"/>
    <mergeCell ref="B93:I93"/>
    <mergeCell ref="B94:I94"/>
    <mergeCell ref="B95:I95"/>
    <mergeCell ref="B96:I96"/>
    <mergeCell ref="B86:I86"/>
    <mergeCell ref="A72:A76"/>
    <mergeCell ref="B72:I72"/>
    <mergeCell ref="B73:C73"/>
    <mergeCell ref="D73:I73"/>
    <mergeCell ref="B74:C74"/>
    <mergeCell ref="D74:I74"/>
    <mergeCell ref="B75:C75"/>
    <mergeCell ref="D75:I75"/>
    <mergeCell ref="B76:I76"/>
    <mergeCell ref="B78:I78"/>
    <mergeCell ref="A81:I81"/>
    <mergeCell ref="B83:I83"/>
    <mergeCell ref="B84:I84"/>
    <mergeCell ref="B85:I85"/>
    <mergeCell ref="A68:A70"/>
    <mergeCell ref="B68:I68"/>
    <mergeCell ref="B69:C69"/>
    <mergeCell ref="D69:I69"/>
    <mergeCell ref="B70:C70"/>
    <mergeCell ref="D70:I70"/>
    <mergeCell ref="A63:A66"/>
    <mergeCell ref="B63:I63"/>
    <mergeCell ref="B64:C64"/>
    <mergeCell ref="D64:I64"/>
    <mergeCell ref="B65:C65"/>
    <mergeCell ref="D65:I65"/>
    <mergeCell ref="B66:C66"/>
    <mergeCell ref="D66:I66"/>
    <mergeCell ref="B61:I61"/>
    <mergeCell ref="A44:I44"/>
    <mergeCell ref="A46:A52"/>
    <mergeCell ref="A54:G54"/>
    <mergeCell ref="A56:C56"/>
    <mergeCell ref="A57:C57"/>
    <mergeCell ref="A59:I59"/>
    <mergeCell ref="A6:I6"/>
    <mergeCell ref="A7:I7"/>
    <mergeCell ref="A8:I8"/>
    <mergeCell ref="A1:I1"/>
    <mergeCell ref="A2:I2"/>
    <mergeCell ref="A3:I3"/>
    <mergeCell ref="A4:I4"/>
    <mergeCell ref="A5:I5"/>
  </mergeCells>
  <pageMargins left="0.78740157480314954" right="0.78740157480314954" top="1.123228346456693" bottom="1.123228346456693" header="0.78740157480314954" footer="0.78740157480314954"/>
  <pageSetup paperSize="9" fitToWidth="0" fitToHeight="0" orientation="portrait" r:id="rId1"/>
  <headerFooter alignWithMargins="0">
    <oddHeader>&amp;C&amp;"Arial1,Regular"&amp;10&amp;A</oddHeader>
    <oddFooter>&amp;C&amp;"Arial1,Regular"&amp;10Página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3"/>
  <sheetViews>
    <sheetView workbookViewId="0">
      <pane ySplit="8" topLeftCell="A9" activePane="bottomLeft" state="frozen"/>
      <selection pane="bottomLeft" activeCell="E10" sqref="E10"/>
    </sheetView>
  </sheetViews>
  <sheetFormatPr defaultRowHeight="14.65" customHeight="1" x14ac:dyDescent="0.2"/>
  <cols>
    <col min="1" max="1" width="53.125" style="203" customWidth="1"/>
    <col min="2" max="2" width="17.5" style="203" customWidth="1"/>
    <col min="3" max="9" width="12.75" style="203" customWidth="1"/>
    <col min="10" max="30" width="8.625" style="203" customWidth="1"/>
    <col min="31" max="62" width="8.625" style="204" customWidth="1"/>
  </cols>
  <sheetData>
    <row r="1" spans="1:30" ht="19.350000000000001" customHeight="1" x14ac:dyDescent="0.2">
      <c r="A1" s="625" t="s">
        <v>475</v>
      </c>
      <c r="B1" s="626"/>
      <c r="C1" s="626"/>
      <c r="D1" s="626"/>
      <c r="E1" s="626"/>
      <c r="F1" s="627"/>
      <c r="AB1" s="204"/>
      <c r="AC1" s="204"/>
      <c r="AD1" s="204"/>
    </row>
    <row r="2" spans="1:30" ht="14.65" customHeight="1" x14ac:dyDescent="0.2">
      <c r="A2" s="628" t="s">
        <v>71</v>
      </c>
      <c r="B2" s="628"/>
      <c r="C2" s="628"/>
      <c r="D2" s="628"/>
      <c r="E2" s="628"/>
      <c r="F2" s="628"/>
      <c r="AB2" s="204"/>
      <c r="AC2" s="204"/>
      <c r="AD2" s="204"/>
    </row>
    <row r="3" spans="1:30" ht="14.65" customHeight="1" x14ac:dyDescent="0.2">
      <c r="A3" s="629" t="s">
        <v>72</v>
      </c>
      <c r="B3" s="629"/>
      <c r="C3" s="629"/>
      <c r="D3" s="629"/>
      <c r="E3" s="629"/>
      <c r="F3" s="629"/>
      <c r="AB3" s="204"/>
      <c r="AC3" s="204"/>
      <c r="AD3" s="204"/>
    </row>
    <row r="4" spans="1:30" ht="24.2" customHeight="1" x14ac:dyDescent="0.2">
      <c r="A4" s="630" t="s">
        <v>294</v>
      </c>
      <c r="B4" s="631"/>
      <c r="C4" s="631"/>
      <c r="D4" s="631"/>
      <c r="E4" s="631"/>
      <c r="F4" s="632"/>
      <c r="AB4" s="204"/>
      <c r="AC4" s="204"/>
      <c r="AD4" s="204"/>
    </row>
    <row r="5" spans="1:30" ht="14.65" customHeight="1" x14ac:dyDescent="0.2">
      <c r="A5" s="461"/>
      <c r="B5" s="461"/>
      <c r="C5" s="461"/>
      <c r="D5" s="461"/>
      <c r="E5" s="461"/>
      <c r="F5" s="461"/>
      <c r="AB5" s="204"/>
      <c r="AC5" s="204"/>
      <c r="AD5" s="204"/>
    </row>
    <row r="6" spans="1:30" ht="17.100000000000001" customHeight="1" x14ac:dyDescent="0.2">
      <c r="A6" s="679" t="s">
        <v>295</v>
      </c>
      <c r="B6" s="680"/>
      <c r="C6" s="680"/>
      <c r="D6" s="680"/>
      <c r="E6" s="680"/>
      <c r="F6" s="681"/>
      <c r="AB6" s="204"/>
      <c r="AC6" s="204"/>
      <c r="AD6" s="204"/>
    </row>
    <row r="7" spans="1:30" ht="14.65" customHeight="1" x14ac:dyDescent="0.2">
      <c r="A7" s="668" t="s">
        <v>296</v>
      </c>
      <c r="B7" s="668"/>
      <c r="C7" s="683" t="s">
        <v>76</v>
      </c>
      <c r="D7" s="684"/>
      <c r="E7" s="683" t="s">
        <v>77</v>
      </c>
      <c r="F7" s="684"/>
      <c r="AB7" s="204"/>
      <c r="AC7" s="204"/>
      <c r="AD7" s="204"/>
    </row>
    <row r="8" spans="1:30" ht="15.75" customHeight="1" x14ac:dyDescent="0.2">
      <c r="A8" s="668"/>
      <c r="B8" s="668"/>
      <c r="C8" s="318" t="s">
        <v>263</v>
      </c>
      <c r="D8" s="318" t="s">
        <v>264</v>
      </c>
      <c r="E8" s="318" t="s">
        <v>263</v>
      </c>
      <c r="F8" s="318" t="s">
        <v>264</v>
      </c>
      <c r="AB8" s="204"/>
      <c r="AC8" s="204"/>
      <c r="AD8" s="204"/>
    </row>
    <row r="9" spans="1:30" ht="15.75" customHeight="1" x14ac:dyDescent="0.2">
      <c r="A9" s="319" t="s">
        <v>297</v>
      </c>
      <c r="B9" s="320" t="s">
        <v>155</v>
      </c>
      <c r="C9" s="320" t="s">
        <v>266</v>
      </c>
      <c r="D9" s="320" t="s">
        <v>266</v>
      </c>
      <c r="E9" s="320" t="s">
        <v>266</v>
      </c>
      <c r="F9" s="320" t="s">
        <v>266</v>
      </c>
      <c r="AB9" s="204"/>
      <c r="AC9" s="204"/>
      <c r="AD9" s="204"/>
    </row>
    <row r="10" spans="1:30" ht="14.65" customHeight="1" x14ac:dyDescent="0.2">
      <c r="A10" s="321" t="s">
        <v>298</v>
      </c>
      <c r="B10" s="373"/>
      <c r="C10" s="323">
        <f>'Valores e modelos Veículos'!G34</f>
        <v>174.72622222222222</v>
      </c>
      <c r="D10" s="323">
        <f>'Valores e modelos Veículos'!G34</f>
        <v>174.72622222222222</v>
      </c>
      <c r="E10" s="323">
        <f>'Valores e modelos Veículos'!F56</f>
        <v>143.26701851851854</v>
      </c>
      <c r="F10" s="323">
        <f>'Valores e modelos Veículos'!F56</f>
        <v>143.26701851851854</v>
      </c>
      <c r="AB10" s="204"/>
      <c r="AC10" s="204"/>
      <c r="AD10" s="204"/>
    </row>
    <row r="11" spans="1:30" ht="14.65" customHeight="1" x14ac:dyDescent="0.2">
      <c r="A11" s="324" t="s">
        <v>299</v>
      </c>
      <c r="B11" s="325"/>
      <c r="C11" s="326">
        <f>21.62</f>
        <v>21.62</v>
      </c>
      <c r="D11" s="326">
        <f>21.62</f>
        <v>21.62</v>
      </c>
      <c r="E11" s="326">
        <f>21.36</f>
        <v>21.36</v>
      </c>
      <c r="F11" s="326">
        <f>21.36</f>
        <v>21.36</v>
      </c>
      <c r="AB11" s="204"/>
      <c r="AC11" s="204"/>
      <c r="AD11" s="204"/>
    </row>
    <row r="12" spans="1:30" ht="14.65" customHeight="1" x14ac:dyDescent="0.2">
      <c r="A12" s="324" t="s">
        <v>300</v>
      </c>
      <c r="B12" s="325"/>
      <c r="C12" s="326">
        <v>43.93</v>
      </c>
      <c r="D12" s="326">
        <v>43.93</v>
      </c>
      <c r="E12" s="326">
        <v>70.94</v>
      </c>
      <c r="F12" s="326">
        <v>70.94</v>
      </c>
      <c r="AB12" s="204"/>
      <c r="AC12" s="204"/>
      <c r="AD12" s="204"/>
    </row>
    <row r="13" spans="1:30" ht="14.65" customHeight="1" x14ac:dyDescent="0.2">
      <c r="A13" s="324" t="s">
        <v>455</v>
      </c>
      <c r="B13" s="327"/>
      <c r="C13" s="346">
        <f>'Combustíveis e Pedágios'!D9*1000/13</f>
        <v>401.53846153846155</v>
      </c>
      <c r="D13" s="346">
        <f>'Combustíveis e Pedágios'!D11*1000/13</f>
        <v>381.53846153846155</v>
      </c>
      <c r="E13" s="346">
        <f>'Combustíveis e Pedágios'!C9*1000/7.5</f>
        <v>816</v>
      </c>
      <c r="F13" s="346">
        <f>'Combustíveis e Pedágios'!C11*1000/7.5</f>
        <v>822.66666666666663</v>
      </c>
      <c r="AB13" s="204"/>
      <c r="AC13" s="204"/>
      <c r="AD13" s="204"/>
    </row>
    <row r="14" spans="1:30" ht="14.65" customHeight="1" x14ac:dyDescent="0.2">
      <c r="A14" s="328" t="s">
        <v>163</v>
      </c>
      <c r="B14" s="329"/>
      <c r="C14" s="329"/>
      <c r="D14" s="330"/>
      <c r="E14" s="330"/>
      <c r="F14" s="330"/>
      <c r="AB14" s="204"/>
      <c r="AC14" s="204"/>
      <c r="AD14" s="204"/>
    </row>
    <row r="15" spans="1:30" ht="15.75" customHeight="1" x14ac:dyDescent="0.2">
      <c r="A15" s="374" t="s">
        <v>274</v>
      </c>
      <c r="B15" s="332"/>
      <c r="C15" s="333">
        <f t="shared" ref="C15:F15" si="0">SUM(C10:C14)</f>
        <v>641.81468376068381</v>
      </c>
      <c r="D15" s="333">
        <f t="shared" si="0"/>
        <v>621.81468376068381</v>
      </c>
      <c r="E15" s="333">
        <f t="shared" si="0"/>
        <v>1051.5670185185186</v>
      </c>
      <c r="F15" s="333">
        <f t="shared" si="0"/>
        <v>1058.2336851851851</v>
      </c>
      <c r="AB15" s="204"/>
      <c r="AC15" s="204"/>
      <c r="AD15" s="204"/>
    </row>
    <row r="16" spans="1:30" ht="15.75" customHeight="1" x14ac:dyDescent="0.2">
      <c r="A16" s="335"/>
      <c r="B16" s="336"/>
      <c r="C16" s="336"/>
      <c r="D16" s="337"/>
      <c r="E16" s="337"/>
      <c r="F16" s="337"/>
      <c r="AB16" s="204"/>
      <c r="AC16" s="204"/>
      <c r="AD16" s="204"/>
    </row>
    <row r="17" spans="1:30" ht="15.75" customHeight="1" x14ac:dyDescent="0.2">
      <c r="A17" s="648" t="s">
        <v>275</v>
      </c>
      <c r="B17" s="648"/>
      <c r="C17" s="648"/>
      <c r="D17" s="648"/>
      <c r="E17" s="648"/>
      <c r="F17" s="648"/>
      <c r="AB17" s="204"/>
      <c r="AC17" s="204"/>
      <c r="AD17" s="204"/>
    </row>
    <row r="18" spans="1:30" ht="14.65" customHeight="1" x14ac:dyDescent="0.2">
      <c r="A18" s="339" t="s">
        <v>276</v>
      </c>
      <c r="B18" s="340" t="s">
        <v>167</v>
      </c>
      <c r="C18" s="320" t="s">
        <v>266</v>
      </c>
      <c r="D18" s="320" t="s">
        <v>266</v>
      </c>
      <c r="E18" s="320" t="s">
        <v>266</v>
      </c>
      <c r="F18" s="320" t="s">
        <v>266</v>
      </c>
      <c r="AB18" s="204"/>
      <c r="AC18" s="204"/>
      <c r="AD18" s="204"/>
    </row>
    <row r="19" spans="1:30" ht="14.65" customHeight="1" x14ac:dyDescent="0.2">
      <c r="A19" s="341" t="s">
        <v>226</v>
      </c>
      <c r="B19" s="342">
        <v>0.05</v>
      </c>
      <c r="C19" s="343">
        <f t="shared" ref="C19:F19" si="1">ROUND($B$19*C15,2)</f>
        <v>32.090000000000003</v>
      </c>
      <c r="D19" s="343">
        <f t="shared" si="1"/>
        <v>31.09</v>
      </c>
      <c r="E19" s="343">
        <f t="shared" si="1"/>
        <v>52.58</v>
      </c>
      <c r="F19" s="343">
        <f t="shared" si="1"/>
        <v>52.91</v>
      </c>
      <c r="AB19" s="204"/>
      <c r="AC19" s="204"/>
      <c r="AD19" s="204"/>
    </row>
    <row r="20" spans="1:30" ht="14.65" customHeight="1" x14ac:dyDescent="0.2">
      <c r="A20" s="344" t="s">
        <v>277</v>
      </c>
      <c r="B20" s="345">
        <v>0.1</v>
      </c>
      <c r="C20" s="346">
        <f t="shared" ref="C20:F20" si="2">ROUND($B$20*(C15+C19),2)</f>
        <v>67.39</v>
      </c>
      <c r="D20" s="346">
        <f t="shared" si="2"/>
        <v>65.290000000000006</v>
      </c>
      <c r="E20" s="346">
        <f t="shared" si="2"/>
        <v>110.41</v>
      </c>
      <c r="F20" s="346">
        <f t="shared" si="2"/>
        <v>111.11</v>
      </c>
      <c r="AB20" s="204"/>
      <c r="AC20" s="204"/>
      <c r="AD20" s="204"/>
    </row>
    <row r="21" spans="1:30" ht="14.65" customHeight="1" x14ac:dyDescent="0.2">
      <c r="A21" s="347" t="s">
        <v>278</v>
      </c>
      <c r="B21" s="348">
        <f>B22+B23</f>
        <v>5.6499999999999995E-2</v>
      </c>
      <c r="C21" s="349">
        <f t="shared" ref="C21:F21" si="3">((C$15+C$19+C$20)/(1-($B21)))*$B21</f>
        <v>44.3912555723144</v>
      </c>
      <c r="D21" s="349">
        <f t="shared" si="3"/>
        <v>43.007948736066382</v>
      </c>
      <c r="E21" s="349">
        <f t="shared" si="3"/>
        <v>72.731819338946778</v>
      </c>
      <c r="F21" s="349">
        <f t="shared" si="3"/>
        <v>73.192722006320039</v>
      </c>
      <c r="AB21" s="204"/>
      <c r="AC21" s="204"/>
      <c r="AD21" s="204"/>
    </row>
    <row r="22" spans="1:30" ht="14.65" customHeight="1" x14ac:dyDescent="0.2">
      <c r="A22" s="344" t="s">
        <v>279</v>
      </c>
      <c r="B22" s="345">
        <v>3.6499999999999998E-2</v>
      </c>
      <c r="C22" s="346">
        <f t="shared" ref="C22:F22" si="4">ROUND(((C$15+C$19+C$20)/(1-$B21))*$B22,2)</f>
        <v>28.68</v>
      </c>
      <c r="D22" s="346">
        <f t="shared" si="4"/>
        <v>27.78</v>
      </c>
      <c r="E22" s="346">
        <f t="shared" si="4"/>
        <v>46.99</v>
      </c>
      <c r="F22" s="346">
        <f t="shared" si="4"/>
        <v>47.28</v>
      </c>
      <c r="AB22" s="204"/>
      <c r="AC22" s="204"/>
      <c r="AD22" s="204"/>
    </row>
    <row r="23" spans="1:30" ht="14.65" customHeight="1" x14ac:dyDescent="0.2">
      <c r="A23" s="344" t="s">
        <v>280</v>
      </c>
      <c r="B23" s="345">
        <v>0.02</v>
      </c>
      <c r="C23" s="346">
        <f t="shared" ref="C23:F23" si="5">ROUND(((C$15+C$19+C$20)/(1-$B21))*$B23,2)</f>
        <v>15.71</v>
      </c>
      <c r="D23" s="346">
        <f t="shared" si="5"/>
        <v>15.22</v>
      </c>
      <c r="E23" s="346">
        <f t="shared" si="5"/>
        <v>25.75</v>
      </c>
      <c r="F23" s="346">
        <f t="shared" si="5"/>
        <v>25.91</v>
      </c>
      <c r="AB23" s="204"/>
      <c r="AC23" s="204"/>
      <c r="AD23" s="204"/>
    </row>
    <row r="24" spans="1:30" ht="14.65" customHeight="1" x14ac:dyDescent="0.2">
      <c r="A24" s="347" t="s">
        <v>281</v>
      </c>
      <c r="B24" s="348">
        <f>B25+B26</f>
        <v>6.6500000000000004E-2</v>
      </c>
      <c r="C24" s="349">
        <f t="shared" ref="C24:F24" si="6">((C$15+C$19+C$20)/(1-($B24)))*$B24</f>
        <v>52.807816250761093</v>
      </c>
      <c r="D24" s="349">
        <f t="shared" si="6"/>
        <v>51.162235104537203</v>
      </c>
      <c r="E24" s="349">
        <f t="shared" si="6"/>
        <v>86.521737259219591</v>
      </c>
      <c r="F24" s="349">
        <f t="shared" si="6"/>
        <v>87.070026850364016</v>
      </c>
      <c r="AB24" s="204"/>
      <c r="AC24" s="204"/>
      <c r="AD24" s="204"/>
    </row>
    <row r="25" spans="1:30" ht="14.65" customHeight="1" x14ac:dyDescent="0.2">
      <c r="A25" s="344" t="s">
        <v>279</v>
      </c>
      <c r="B25" s="345">
        <f>B$22</f>
        <v>3.6499999999999998E-2</v>
      </c>
      <c r="C25" s="346">
        <f t="shared" ref="C25:F25" si="7">ROUND(((C$15+C$19+C$20)/(1-$B24))*$B25,2)</f>
        <v>28.98</v>
      </c>
      <c r="D25" s="346">
        <f t="shared" si="7"/>
        <v>28.08</v>
      </c>
      <c r="E25" s="346">
        <f t="shared" si="7"/>
        <v>47.49</v>
      </c>
      <c r="F25" s="346">
        <f t="shared" si="7"/>
        <v>47.79</v>
      </c>
      <c r="AB25" s="204"/>
      <c r="AC25" s="204"/>
      <c r="AD25" s="204"/>
    </row>
    <row r="26" spans="1:30" ht="14.65" customHeight="1" x14ac:dyDescent="0.2">
      <c r="A26" s="344" t="s">
        <v>280</v>
      </c>
      <c r="B26" s="345">
        <v>0.03</v>
      </c>
      <c r="C26" s="346">
        <f t="shared" ref="C26:F26" si="8">ROUND(((C$15+C$19+C$20)/(1-$B24))*$B26,2)</f>
        <v>23.82</v>
      </c>
      <c r="D26" s="346">
        <f t="shared" si="8"/>
        <v>23.08</v>
      </c>
      <c r="E26" s="346">
        <f t="shared" si="8"/>
        <v>39.03</v>
      </c>
      <c r="F26" s="346">
        <f t="shared" si="8"/>
        <v>39.28</v>
      </c>
      <c r="AB26" s="204"/>
      <c r="AC26" s="204"/>
      <c r="AD26" s="204"/>
    </row>
    <row r="27" spans="1:30" ht="14.65" customHeight="1" x14ac:dyDescent="0.2">
      <c r="A27" s="347" t="s">
        <v>282</v>
      </c>
      <c r="B27" s="348">
        <f>B28+B29</f>
        <v>7.1500000000000008E-2</v>
      </c>
      <c r="C27" s="349">
        <f t="shared" ref="C27:F27" si="9">((C$15+C$19+C$20)/(1-($B27)))*$B27</f>
        <v>57.084081732782877</v>
      </c>
      <c r="D27" s="349">
        <f t="shared" si="9"/>
        <v>55.305244899180288</v>
      </c>
      <c r="E27" s="349">
        <f t="shared" si="9"/>
        <v>93.528084893994702</v>
      </c>
      <c r="F27" s="349">
        <f t="shared" si="9"/>
        <v>94.120773818783789</v>
      </c>
      <c r="AB27" s="204"/>
      <c r="AC27" s="204"/>
      <c r="AD27" s="204"/>
    </row>
    <row r="28" spans="1:30" ht="14.65" customHeight="1" x14ac:dyDescent="0.2">
      <c r="A28" s="344" t="s">
        <v>279</v>
      </c>
      <c r="B28" s="345">
        <f>B$22</f>
        <v>3.6499999999999998E-2</v>
      </c>
      <c r="C28" s="346">
        <f t="shared" ref="C28:F28" si="10">ROUND(((C$15+C$19+C$20)/(1-$B27))*$B28,2)</f>
        <v>29.14</v>
      </c>
      <c r="D28" s="346">
        <f t="shared" si="10"/>
        <v>28.23</v>
      </c>
      <c r="E28" s="346">
        <f t="shared" si="10"/>
        <v>47.75</v>
      </c>
      <c r="F28" s="346">
        <f t="shared" si="10"/>
        <v>48.05</v>
      </c>
      <c r="AB28" s="204"/>
      <c r="AC28" s="204"/>
      <c r="AD28" s="204"/>
    </row>
    <row r="29" spans="1:30" ht="14.65" customHeight="1" x14ac:dyDescent="0.2">
      <c r="A29" s="344" t="s">
        <v>280</v>
      </c>
      <c r="B29" s="345">
        <v>3.5000000000000003E-2</v>
      </c>
      <c r="C29" s="346">
        <f t="shared" ref="C29:F29" si="11">ROUND(((C$15+C$19+C$20)/(1-$B27))*$B29,2)</f>
        <v>27.94</v>
      </c>
      <c r="D29" s="346">
        <f t="shared" si="11"/>
        <v>27.07</v>
      </c>
      <c r="E29" s="346">
        <f t="shared" si="11"/>
        <v>45.78</v>
      </c>
      <c r="F29" s="346">
        <f t="shared" si="11"/>
        <v>46.07</v>
      </c>
      <c r="AB29" s="204"/>
      <c r="AC29" s="204"/>
      <c r="AD29" s="204"/>
    </row>
    <row r="30" spans="1:30" ht="12.75" customHeight="1" x14ac:dyDescent="0.2">
      <c r="A30" s="347" t="s">
        <v>283</v>
      </c>
      <c r="B30" s="348">
        <f>B31+B32</f>
        <v>7.6499999999999999E-2</v>
      </c>
      <c r="C30" s="349">
        <f t="shared" ref="C30:F30" si="12">((C$15+C$19+C$20)/(1-($B30)))*$B30</f>
        <v>61.406652201074515</v>
      </c>
      <c r="D30" s="349">
        <f t="shared" si="12"/>
        <v>59.493116738161682</v>
      </c>
      <c r="E30" s="349">
        <f t="shared" si="12"/>
        <v>100.61029985562175</v>
      </c>
      <c r="F30" s="349">
        <f t="shared" si="12"/>
        <v>101.24786888648258</v>
      </c>
      <c r="AB30" s="204"/>
      <c r="AC30" s="204"/>
      <c r="AD30" s="204"/>
    </row>
    <row r="31" spans="1:30" ht="12.75" customHeight="1" x14ac:dyDescent="0.2">
      <c r="A31" s="344" t="s">
        <v>279</v>
      </c>
      <c r="B31" s="345">
        <f>B$22</f>
        <v>3.6499999999999998E-2</v>
      </c>
      <c r="C31" s="346">
        <f t="shared" ref="C31:F31" si="13">ROUND(((C$15+C$19+C$20)/(1-$B30))*$B31,2)</f>
        <v>29.3</v>
      </c>
      <c r="D31" s="346">
        <f t="shared" si="13"/>
        <v>28.39</v>
      </c>
      <c r="E31" s="346">
        <f t="shared" si="13"/>
        <v>48</v>
      </c>
      <c r="F31" s="346">
        <f t="shared" si="13"/>
        <v>48.31</v>
      </c>
      <c r="AB31" s="204"/>
      <c r="AC31" s="204"/>
      <c r="AD31" s="204"/>
    </row>
    <row r="32" spans="1:30" ht="14.65" customHeight="1" x14ac:dyDescent="0.2">
      <c r="A32" s="344" t="s">
        <v>280</v>
      </c>
      <c r="B32" s="345">
        <v>0.04</v>
      </c>
      <c r="C32" s="346">
        <f t="shared" ref="C32:F32" si="14">ROUND(((C$15+C$19+C$20)/(1-$B30))*$B32,2)</f>
        <v>32.11</v>
      </c>
      <c r="D32" s="346">
        <f t="shared" si="14"/>
        <v>31.11</v>
      </c>
      <c r="E32" s="346">
        <f t="shared" si="14"/>
        <v>52.61</v>
      </c>
      <c r="F32" s="346">
        <f t="shared" si="14"/>
        <v>52.94</v>
      </c>
      <c r="AB32" s="204"/>
      <c r="AC32" s="204"/>
      <c r="AD32" s="204"/>
    </row>
    <row r="33" spans="1:30" ht="14.65" customHeight="1" x14ac:dyDescent="0.2">
      <c r="A33" s="347" t="s">
        <v>284</v>
      </c>
      <c r="B33" s="348">
        <f>B34+B35</f>
        <v>8.6499999999999994E-2</v>
      </c>
      <c r="C33" s="349">
        <f t="shared" ref="C33:F33" si="15">((C$15+C$19+C$20)/(1-($B33)))*$B33</f>
        <v>70.193749474875915</v>
      </c>
      <c r="D33" s="349">
        <f t="shared" si="15"/>
        <v>68.006393153036825</v>
      </c>
      <c r="E33" s="349">
        <f t="shared" si="15"/>
        <v>115.00731483508686</v>
      </c>
      <c r="F33" s="349">
        <f t="shared" si="15"/>
        <v>115.73611797320034</v>
      </c>
      <c r="AB33" s="204"/>
      <c r="AC33" s="204"/>
      <c r="AD33" s="204"/>
    </row>
    <row r="34" spans="1:30" ht="14.65" customHeight="1" x14ac:dyDescent="0.2">
      <c r="A34" s="344" t="s">
        <v>279</v>
      </c>
      <c r="B34" s="345">
        <f>B$22</f>
        <v>3.6499999999999998E-2</v>
      </c>
      <c r="C34" s="346">
        <f t="shared" ref="C34:F34" si="16">ROUND(((C$15+C$19+C$20)/(1-$B33))*$B34,2)</f>
        <v>29.62</v>
      </c>
      <c r="D34" s="346">
        <f t="shared" si="16"/>
        <v>28.7</v>
      </c>
      <c r="E34" s="346">
        <f t="shared" si="16"/>
        <v>48.53</v>
      </c>
      <c r="F34" s="346">
        <f t="shared" si="16"/>
        <v>48.84</v>
      </c>
      <c r="AB34" s="204"/>
      <c r="AC34" s="204"/>
      <c r="AD34" s="204"/>
    </row>
    <row r="35" spans="1:30" ht="14.65" customHeight="1" x14ac:dyDescent="0.2">
      <c r="A35" s="351" t="s">
        <v>280</v>
      </c>
      <c r="B35" s="345">
        <v>0.05</v>
      </c>
      <c r="C35" s="346">
        <f t="shared" ref="C35:F35" si="17">ROUND(((C$15+C$19+C$20)/(1-$B33))*$B35,2)</f>
        <v>40.57</v>
      </c>
      <c r="D35" s="346">
        <f t="shared" si="17"/>
        <v>39.31</v>
      </c>
      <c r="E35" s="346">
        <f t="shared" si="17"/>
        <v>66.48</v>
      </c>
      <c r="F35" s="346">
        <f t="shared" si="17"/>
        <v>66.900000000000006</v>
      </c>
      <c r="AB35" s="204"/>
      <c r="AC35" s="204"/>
      <c r="AD35" s="204"/>
    </row>
    <row r="36" spans="1:30" ht="14.65" customHeight="1" x14ac:dyDescent="0.2">
      <c r="A36" s="673" t="s">
        <v>285</v>
      </c>
      <c r="B36" s="375">
        <f>B23</f>
        <v>0.02</v>
      </c>
      <c r="C36" s="354">
        <f t="shared" ref="C36:F36" si="18">C$19+C$20+C21</f>
        <v>143.8712555723144</v>
      </c>
      <c r="D36" s="354">
        <f t="shared" si="18"/>
        <v>139.38794873606639</v>
      </c>
      <c r="E36" s="354">
        <f t="shared" si="18"/>
        <v>235.72181933894677</v>
      </c>
      <c r="F36" s="354">
        <f t="shared" si="18"/>
        <v>237.21272200632001</v>
      </c>
      <c r="AB36" s="204"/>
      <c r="AC36" s="204"/>
      <c r="AD36" s="204"/>
    </row>
    <row r="37" spans="1:30" ht="14.65" customHeight="1" x14ac:dyDescent="0.2">
      <c r="A37" s="673"/>
      <c r="B37" s="375">
        <f>B26</f>
        <v>0.03</v>
      </c>
      <c r="C37" s="354">
        <f t="shared" ref="C37:F37" si="19">C$19+C$20+C24</f>
        <v>152.2878162507611</v>
      </c>
      <c r="D37" s="354">
        <f t="shared" si="19"/>
        <v>147.54223510453721</v>
      </c>
      <c r="E37" s="354">
        <f t="shared" si="19"/>
        <v>249.51173725921961</v>
      </c>
      <c r="F37" s="354">
        <f t="shared" si="19"/>
        <v>251.09002685036398</v>
      </c>
      <c r="AB37" s="204"/>
      <c r="AC37" s="204"/>
      <c r="AD37" s="204"/>
    </row>
    <row r="38" spans="1:30" ht="14.65" customHeight="1" x14ac:dyDescent="0.2">
      <c r="A38" s="673"/>
      <c r="B38" s="375">
        <f>B29</f>
        <v>3.5000000000000003E-2</v>
      </c>
      <c r="C38" s="354">
        <f t="shared" ref="C38:F38" si="20">C$19+C$20+C27</f>
        <v>156.56408173278288</v>
      </c>
      <c r="D38" s="354">
        <f t="shared" si="20"/>
        <v>151.6852448991803</v>
      </c>
      <c r="E38" s="354">
        <f t="shared" si="20"/>
        <v>256.51808489399468</v>
      </c>
      <c r="F38" s="354">
        <f t="shared" si="20"/>
        <v>258.14077381878377</v>
      </c>
      <c r="AB38" s="204"/>
      <c r="AC38" s="204"/>
      <c r="AD38" s="204"/>
    </row>
    <row r="39" spans="1:30" ht="14.65" customHeight="1" x14ac:dyDescent="0.2">
      <c r="A39" s="673"/>
      <c r="B39" s="375">
        <f>B32</f>
        <v>0.04</v>
      </c>
      <c r="C39" s="354">
        <f t="shared" ref="C39:F39" si="21">C$19+C$20+C30</f>
        <v>160.88665220107453</v>
      </c>
      <c r="D39" s="354">
        <f t="shared" si="21"/>
        <v>155.87311673816168</v>
      </c>
      <c r="E39" s="354">
        <f t="shared" si="21"/>
        <v>263.60029985562176</v>
      </c>
      <c r="F39" s="354">
        <f t="shared" si="21"/>
        <v>265.26786888648257</v>
      </c>
      <c r="AB39" s="204"/>
      <c r="AC39" s="204"/>
      <c r="AD39" s="204"/>
    </row>
    <row r="40" spans="1:30" ht="14.65" customHeight="1" x14ac:dyDescent="0.2">
      <c r="A40" s="673"/>
      <c r="B40" s="355">
        <f>B35</f>
        <v>0.05</v>
      </c>
      <c r="C40" s="354">
        <f t="shared" ref="C40:F40" si="22">C$19+C$20+C33</f>
        <v>169.67374947487593</v>
      </c>
      <c r="D40" s="354">
        <f t="shared" si="22"/>
        <v>164.38639315303683</v>
      </c>
      <c r="E40" s="354">
        <f t="shared" si="22"/>
        <v>277.99731483508685</v>
      </c>
      <c r="F40" s="354">
        <f t="shared" si="22"/>
        <v>279.75611797320033</v>
      </c>
      <c r="AB40" s="204"/>
      <c r="AC40" s="204"/>
      <c r="AD40" s="204"/>
    </row>
    <row r="41" spans="1:30" ht="14.65" customHeight="1" x14ac:dyDescent="0.2">
      <c r="A41" s="356"/>
      <c r="B41" s="357"/>
      <c r="C41" s="358"/>
      <c r="D41" s="358"/>
      <c r="E41" s="358"/>
      <c r="F41" s="358"/>
      <c r="AB41" s="204"/>
      <c r="AC41" s="204"/>
      <c r="AD41" s="204"/>
    </row>
    <row r="42" spans="1:30" ht="21.4" customHeight="1" x14ac:dyDescent="0.2">
      <c r="A42" s="658" t="s">
        <v>286</v>
      </c>
      <c r="B42" s="658"/>
      <c r="C42" s="658"/>
      <c r="D42" s="658"/>
      <c r="E42" s="658"/>
      <c r="F42" s="658"/>
      <c r="AB42" s="204"/>
      <c r="AC42" s="204"/>
      <c r="AD42" s="204"/>
    </row>
    <row r="43" spans="1:30" ht="14.65" customHeight="1" x14ac:dyDescent="0.2">
      <c r="A43" s="674" t="s">
        <v>301</v>
      </c>
      <c r="B43" s="674"/>
      <c r="C43" s="359" t="s">
        <v>266</v>
      </c>
      <c r="D43" s="359" t="s">
        <v>266</v>
      </c>
      <c r="E43" s="359" t="s">
        <v>266</v>
      </c>
      <c r="F43" s="359" t="s">
        <v>266</v>
      </c>
      <c r="AB43" s="204"/>
      <c r="AC43" s="204"/>
      <c r="AD43" s="204"/>
    </row>
    <row r="44" spans="1:30" ht="14.65" customHeight="1" x14ac:dyDescent="0.2">
      <c r="A44" s="682" t="s">
        <v>287</v>
      </c>
      <c r="B44" s="682"/>
      <c r="C44" s="360">
        <f t="shared" ref="C44:F44" si="23">C15</f>
        <v>641.81468376068381</v>
      </c>
      <c r="D44" s="360">
        <f t="shared" si="23"/>
        <v>621.81468376068381</v>
      </c>
      <c r="E44" s="360">
        <f t="shared" si="23"/>
        <v>1051.5670185185186</v>
      </c>
      <c r="F44" s="360">
        <f t="shared" si="23"/>
        <v>1058.2336851851851</v>
      </c>
      <c r="AB44" s="204"/>
      <c r="AC44" s="204"/>
      <c r="AD44" s="204"/>
    </row>
    <row r="45" spans="1:30" ht="14.65" customHeight="1" x14ac:dyDescent="0.2">
      <c r="A45" s="682" t="s">
        <v>288</v>
      </c>
      <c r="B45" s="682"/>
      <c r="C45" s="360">
        <f t="shared" ref="C45:F49" si="24">C36</f>
        <v>143.8712555723144</v>
      </c>
      <c r="D45" s="360">
        <f t="shared" si="24"/>
        <v>139.38794873606639</v>
      </c>
      <c r="E45" s="360">
        <f t="shared" si="24"/>
        <v>235.72181933894677</v>
      </c>
      <c r="F45" s="360">
        <f t="shared" si="24"/>
        <v>237.21272200632001</v>
      </c>
      <c r="AB45" s="204"/>
      <c r="AC45" s="204"/>
      <c r="AD45" s="204"/>
    </row>
    <row r="46" spans="1:30" ht="14.65" customHeight="1" x14ac:dyDescent="0.2">
      <c r="A46" s="682" t="s">
        <v>289</v>
      </c>
      <c r="B46" s="682"/>
      <c r="C46" s="360">
        <f t="shared" si="24"/>
        <v>152.2878162507611</v>
      </c>
      <c r="D46" s="360">
        <f t="shared" si="24"/>
        <v>147.54223510453721</v>
      </c>
      <c r="E46" s="360">
        <f t="shared" si="24"/>
        <v>249.51173725921961</v>
      </c>
      <c r="F46" s="360">
        <f t="shared" si="24"/>
        <v>251.09002685036398</v>
      </c>
      <c r="AB46" s="204"/>
      <c r="AC46" s="204"/>
      <c r="AD46" s="204"/>
    </row>
    <row r="47" spans="1:30" ht="14.65" customHeight="1" x14ac:dyDescent="0.2">
      <c r="A47" s="682" t="s">
        <v>290</v>
      </c>
      <c r="B47" s="682"/>
      <c r="C47" s="360">
        <f t="shared" si="24"/>
        <v>156.56408173278288</v>
      </c>
      <c r="D47" s="360">
        <f t="shared" si="24"/>
        <v>151.6852448991803</v>
      </c>
      <c r="E47" s="360">
        <f t="shared" si="24"/>
        <v>256.51808489399468</v>
      </c>
      <c r="F47" s="360">
        <f t="shared" si="24"/>
        <v>258.14077381878377</v>
      </c>
      <c r="AB47" s="204"/>
      <c r="AC47" s="204"/>
      <c r="AD47" s="204"/>
    </row>
    <row r="48" spans="1:30" ht="14.65" customHeight="1" x14ac:dyDescent="0.2">
      <c r="A48" s="682" t="s">
        <v>291</v>
      </c>
      <c r="B48" s="682"/>
      <c r="C48" s="360">
        <f t="shared" si="24"/>
        <v>160.88665220107453</v>
      </c>
      <c r="D48" s="360">
        <f t="shared" si="24"/>
        <v>155.87311673816168</v>
      </c>
      <c r="E48" s="360">
        <f t="shared" si="24"/>
        <v>263.60029985562176</v>
      </c>
      <c r="F48" s="360">
        <f t="shared" si="24"/>
        <v>265.26786888648257</v>
      </c>
      <c r="AB48" s="204"/>
      <c r="AC48" s="204"/>
      <c r="AD48" s="204"/>
    </row>
    <row r="49" spans="1:30" ht="14.65" customHeight="1" x14ac:dyDescent="0.2">
      <c r="A49" s="682" t="s">
        <v>292</v>
      </c>
      <c r="B49" s="682"/>
      <c r="C49" s="360">
        <f t="shared" si="24"/>
        <v>169.67374947487593</v>
      </c>
      <c r="D49" s="360">
        <f t="shared" si="24"/>
        <v>164.38639315303683</v>
      </c>
      <c r="E49" s="360">
        <f t="shared" si="24"/>
        <v>277.99731483508685</v>
      </c>
      <c r="F49" s="360">
        <f t="shared" si="24"/>
        <v>279.75611797320033</v>
      </c>
      <c r="AB49" s="204"/>
      <c r="AC49" s="204"/>
      <c r="AD49" s="204"/>
    </row>
    <row r="50" spans="1:30" ht="14.65" customHeight="1" x14ac:dyDescent="0.2">
      <c r="A50" s="361"/>
      <c r="B50" s="362"/>
      <c r="C50" s="363"/>
      <c r="D50" s="363"/>
      <c r="E50" s="363"/>
      <c r="F50" s="363"/>
      <c r="AB50" s="204"/>
      <c r="AC50" s="204"/>
      <c r="AD50" s="204"/>
    </row>
    <row r="51" spans="1:30" ht="15.75" customHeight="1" x14ac:dyDescent="0.2">
      <c r="A51" s="686" t="s">
        <v>302</v>
      </c>
      <c r="B51" s="376" t="s">
        <v>252</v>
      </c>
      <c r="C51" s="377">
        <f t="shared" ref="C51:F55" si="25">TRUNC((C$44+C45),2)</f>
        <v>785.68</v>
      </c>
      <c r="D51" s="377">
        <f t="shared" si="25"/>
        <v>761.2</v>
      </c>
      <c r="E51" s="377">
        <f t="shared" si="25"/>
        <v>1287.28</v>
      </c>
      <c r="F51" s="377">
        <f t="shared" si="25"/>
        <v>1295.44</v>
      </c>
      <c r="AB51" s="204"/>
      <c r="AC51" s="204"/>
      <c r="AD51" s="204"/>
    </row>
    <row r="52" spans="1:30" ht="15.75" customHeight="1" x14ac:dyDescent="0.2">
      <c r="A52" s="686"/>
      <c r="B52" s="376" t="s">
        <v>246</v>
      </c>
      <c r="C52" s="377">
        <f t="shared" si="25"/>
        <v>794.1</v>
      </c>
      <c r="D52" s="377">
        <f t="shared" si="25"/>
        <v>769.35</v>
      </c>
      <c r="E52" s="377">
        <f t="shared" si="25"/>
        <v>1301.07</v>
      </c>
      <c r="F52" s="377">
        <f t="shared" si="25"/>
        <v>1309.32</v>
      </c>
      <c r="AB52" s="204"/>
      <c r="AC52" s="204"/>
      <c r="AD52" s="204"/>
    </row>
    <row r="53" spans="1:30" ht="15.75" customHeight="1" x14ac:dyDescent="0.2">
      <c r="A53" s="686"/>
      <c r="B53" s="376" t="s">
        <v>257</v>
      </c>
      <c r="C53" s="377">
        <f t="shared" si="25"/>
        <v>798.37</v>
      </c>
      <c r="D53" s="377">
        <f t="shared" si="25"/>
        <v>773.49</v>
      </c>
      <c r="E53" s="377">
        <f t="shared" si="25"/>
        <v>1308.08</v>
      </c>
      <c r="F53" s="377">
        <f t="shared" si="25"/>
        <v>1316.37</v>
      </c>
      <c r="AB53" s="204"/>
      <c r="AC53" s="204"/>
      <c r="AD53" s="204"/>
    </row>
    <row r="54" spans="1:30" ht="15.75" customHeight="1" x14ac:dyDescent="0.2">
      <c r="A54" s="686"/>
      <c r="B54" s="376" t="s">
        <v>258</v>
      </c>
      <c r="C54" s="377">
        <f t="shared" si="25"/>
        <v>802.7</v>
      </c>
      <c r="D54" s="377">
        <f t="shared" si="25"/>
        <v>777.68</v>
      </c>
      <c r="E54" s="377">
        <f t="shared" si="25"/>
        <v>1315.16</v>
      </c>
      <c r="F54" s="377">
        <f t="shared" si="25"/>
        <v>1323.5</v>
      </c>
      <c r="AB54" s="204"/>
      <c r="AC54" s="204"/>
      <c r="AD54" s="204"/>
    </row>
    <row r="55" spans="1:30" ht="15.75" customHeight="1" x14ac:dyDescent="0.2">
      <c r="A55" s="686"/>
      <c r="B55" s="376" t="s">
        <v>247</v>
      </c>
      <c r="C55" s="377">
        <f t="shared" si="25"/>
        <v>811.48</v>
      </c>
      <c r="D55" s="377">
        <f t="shared" si="25"/>
        <v>786.2</v>
      </c>
      <c r="E55" s="377">
        <f t="shared" si="25"/>
        <v>1329.56</v>
      </c>
      <c r="F55" s="377">
        <f t="shared" si="25"/>
        <v>1337.98</v>
      </c>
      <c r="AB55" s="204"/>
      <c r="AC55" s="204"/>
      <c r="AD55" s="204"/>
    </row>
    <row r="56" spans="1:30" ht="15.75" customHeight="1" x14ac:dyDescent="0.2">
      <c r="A56" s="366"/>
      <c r="B56" s="367"/>
      <c r="C56" s="368"/>
      <c r="D56" s="368"/>
      <c r="E56" s="368"/>
      <c r="F56" s="368"/>
      <c r="AB56" s="204"/>
      <c r="AC56" s="204"/>
      <c r="AD56" s="204"/>
    </row>
    <row r="57" spans="1:30" ht="15.75" customHeight="1" x14ac:dyDescent="0.2">
      <c r="A57" s="686" t="s">
        <v>303</v>
      </c>
      <c r="B57" s="376" t="str">
        <f>B51</f>
        <v>ISS 2,00%</v>
      </c>
      <c r="C57" s="378">
        <f t="shared" ref="C57:F61" si="26">C51/1000</f>
        <v>0.78567999999999993</v>
      </c>
      <c r="D57" s="378">
        <f t="shared" si="26"/>
        <v>0.7612000000000001</v>
      </c>
      <c r="E57" s="378">
        <f t="shared" si="26"/>
        <v>1.28728</v>
      </c>
      <c r="F57" s="378">
        <f t="shared" si="26"/>
        <v>1.2954400000000001</v>
      </c>
      <c r="AB57" s="204"/>
      <c r="AC57" s="204"/>
      <c r="AD57" s="204"/>
    </row>
    <row r="58" spans="1:30" ht="15.75" customHeight="1" x14ac:dyDescent="0.2">
      <c r="A58" s="686"/>
      <c r="B58" s="376" t="str">
        <f>B52</f>
        <v>ISS 3,00%</v>
      </c>
      <c r="C58" s="378">
        <f t="shared" si="26"/>
        <v>0.79410000000000003</v>
      </c>
      <c r="D58" s="378">
        <f t="shared" si="26"/>
        <v>0.76934999999999998</v>
      </c>
      <c r="E58" s="378">
        <f t="shared" si="26"/>
        <v>1.3010699999999999</v>
      </c>
      <c r="F58" s="378">
        <f t="shared" si="26"/>
        <v>1.30932</v>
      </c>
      <c r="AB58" s="204"/>
      <c r="AC58" s="204"/>
      <c r="AD58" s="204"/>
    </row>
    <row r="59" spans="1:30" ht="15.75" customHeight="1" x14ac:dyDescent="0.2">
      <c r="A59" s="686"/>
      <c r="B59" s="376" t="str">
        <f>B53</f>
        <v>ISS 3,50%</v>
      </c>
      <c r="C59" s="378">
        <f t="shared" si="26"/>
        <v>0.79837000000000002</v>
      </c>
      <c r="D59" s="378">
        <f t="shared" si="26"/>
        <v>0.77349000000000001</v>
      </c>
      <c r="E59" s="378">
        <f t="shared" si="26"/>
        <v>1.3080799999999999</v>
      </c>
      <c r="F59" s="378">
        <f t="shared" si="26"/>
        <v>1.3163699999999998</v>
      </c>
      <c r="AB59" s="204"/>
      <c r="AC59" s="204"/>
      <c r="AD59" s="204"/>
    </row>
    <row r="60" spans="1:30" ht="15.75" customHeight="1" x14ac:dyDescent="0.2">
      <c r="A60" s="686"/>
      <c r="B60" s="376" t="str">
        <f>B54</f>
        <v>ISS 4,00%</v>
      </c>
      <c r="C60" s="378">
        <f t="shared" si="26"/>
        <v>0.80270000000000008</v>
      </c>
      <c r="D60" s="378">
        <f t="shared" si="26"/>
        <v>0.77767999999999993</v>
      </c>
      <c r="E60" s="378">
        <f t="shared" si="26"/>
        <v>1.3151600000000001</v>
      </c>
      <c r="F60" s="378">
        <f t="shared" si="26"/>
        <v>1.3234999999999999</v>
      </c>
      <c r="AB60" s="204"/>
      <c r="AC60" s="204"/>
      <c r="AD60" s="204"/>
    </row>
    <row r="61" spans="1:30" ht="15.75" customHeight="1" x14ac:dyDescent="0.2">
      <c r="A61" s="686"/>
      <c r="B61" s="376" t="str">
        <f>B55</f>
        <v>ISS 5,00%</v>
      </c>
      <c r="C61" s="378">
        <f t="shared" si="26"/>
        <v>0.81147999999999998</v>
      </c>
      <c r="D61" s="378">
        <f t="shared" si="26"/>
        <v>0.78620000000000001</v>
      </c>
      <c r="E61" s="378">
        <f t="shared" si="26"/>
        <v>1.3295599999999999</v>
      </c>
      <c r="F61" s="378">
        <f t="shared" si="26"/>
        <v>1.3379799999999999</v>
      </c>
      <c r="AB61" s="204"/>
      <c r="AC61" s="204"/>
      <c r="AD61" s="204"/>
    </row>
    <row r="62" spans="1:30" ht="14.65" customHeight="1" x14ac:dyDescent="0.2">
      <c r="AB62" s="204"/>
      <c r="AC62" s="204"/>
      <c r="AD62" s="204"/>
    </row>
    <row r="63" spans="1:30" ht="52.15" customHeight="1" x14ac:dyDescent="0.2">
      <c r="A63" s="685" t="s">
        <v>304</v>
      </c>
      <c r="B63" s="685"/>
      <c r="C63" s="685"/>
      <c r="D63" s="685"/>
      <c r="E63" s="685"/>
      <c r="F63" s="685"/>
      <c r="AB63" s="204"/>
      <c r="AC63" s="204"/>
      <c r="AD63" s="204"/>
    </row>
  </sheetData>
  <mergeCells count="21">
    <mergeCell ref="A1:F1"/>
    <mergeCell ref="A2:F2"/>
    <mergeCell ref="A3:F3"/>
    <mergeCell ref="A4:F4"/>
    <mergeCell ref="A6:F6"/>
    <mergeCell ref="A63:F63"/>
    <mergeCell ref="A46:B46"/>
    <mergeCell ref="A47:B47"/>
    <mergeCell ref="A48:B48"/>
    <mergeCell ref="A49:B49"/>
    <mergeCell ref="A51:A55"/>
    <mergeCell ref="A57:A61"/>
    <mergeCell ref="A45:B45"/>
    <mergeCell ref="A7:B8"/>
    <mergeCell ref="A17:F17"/>
    <mergeCell ref="A36:A40"/>
    <mergeCell ref="A42:F42"/>
    <mergeCell ref="A43:B43"/>
    <mergeCell ref="A44:B44"/>
    <mergeCell ref="C7:D7"/>
    <mergeCell ref="E7:F7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3"/>
  <sheetViews>
    <sheetView showGridLines="0" topLeftCell="A37" workbookViewId="0">
      <selection activeCell="E66" sqref="E66"/>
    </sheetView>
  </sheetViews>
  <sheetFormatPr defaultRowHeight="14.25" x14ac:dyDescent="0.2"/>
  <cols>
    <col min="1" max="1" width="59.5" style="379" customWidth="1"/>
    <col min="2" max="2" width="12.75" style="379" customWidth="1"/>
    <col min="3" max="3" width="15.25" style="379" customWidth="1"/>
    <col min="4" max="4" width="13.25" style="379" customWidth="1"/>
    <col min="5" max="5" width="6.125" style="379" customWidth="1"/>
    <col min="6" max="6" width="10.875" style="379" customWidth="1"/>
    <col min="7" max="7" width="13.625" style="379" customWidth="1"/>
    <col min="8" max="8" width="13.375" style="379" customWidth="1"/>
    <col min="9" max="9" width="8.5" style="379" customWidth="1"/>
    <col min="10" max="10" width="21.875" style="379" customWidth="1"/>
    <col min="11" max="64" width="8.5" style="379" customWidth="1"/>
  </cols>
  <sheetData>
    <row r="1" spans="1:64" ht="19.350000000000001" customHeight="1" x14ac:dyDescent="0.2">
      <c r="A1" s="689" t="s">
        <v>475</v>
      </c>
      <c r="B1" s="689"/>
      <c r="C1" s="689"/>
      <c r="D1" s="689"/>
      <c r="E1" s="689"/>
      <c r="F1" s="689"/>
      <c r="G1" s="689"/>
      <c r="H1" s="689"/>
      <c r="I1" s="689"/>
      <c r="J1" s="689"/>
      <c r="K1" s="689"/>
    </row>
    <row r="2" spans="1:64" ht="12.75" customHeight="1" x14ac:dyDescent="0.2">
      <c r="A2" s="690" t="s">
        <v>71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</row>
    <row r="3" spans="1:64" ht="12.75" customHeight="1" x14ac:dyDescent="0.2">
      <c r="A3" s="690" t="s">
        <v>72</v>
      </c>
      <c r="B3" s="690"/>
      <c r="C3" s="690"/>
      <c r="D3" s="690"/>
      <c r="E3" s="690"/>
      <c r="F3" s="690"/>
      <c r="G3" s="690"/>
      <c r="H3" s="690"/>
      <c r="I3" s="690"/>
      <c r="J3" s="690"/>
      <c r="K3" s="690"/>
    </row>
    <row r="4" spans="1:64" ht="33.6" customHeight="1" x14ac:dyDescent="0.2">
      <c r="A4" s="691" t="s">
        <v>305</v>
      </c>
      <c r="B4" s="691"/>
      <c r="C4" s="691"/>
      <c r="D4" s="691"/>
      <c r="E4" s="691"/>
      <c r="F4" s="691"/>
      <c r="G4" s="691"/>
      <c r="H4" s="691"/>
      <c r="I4" s="691"/>
      <c r="J4" s="691"/>
      <c r="K4" s="691"/>
    </row>
    <row r="5" spans="1:64" ht="14.65" customHeight="1" x14ac:dyDescent="0.2"/>
    <row r="6" spans="1:64" ht="22.35" customHeight="1" x14ac:dyDescent="0.2">
      <c r="A6" s="688" t="s">
        <v>306</v>
      </c>
      <c r="B6" s="688"/>
      <c r="C6" s="688"/>
      <c r="D6" s="688"/>
      <c r="E6" s="688"/>
      <c r="F6" s="688"/>
      <c r="G6" s="688"/>
      <c r="H6" s="688"/>
      <c r="I6" s="688"/>
      <c r="J6" s="688"/>
      <c r="K6" s="688"/>
    </row>
    <row r="7" spans="1:64" ht="17.100000000000001" customHeight="1" x14ac:dyDescent="0.2">
      <c r="A7" s="380"/>
      <c r="BK7"/>
      <c r="BL7"/>
    </row>
    <row r="8" spans="1:64" ht="14.65" customHeight="1" x14ac:dyDescent="0.2">
      <c r="A8" s="381" t="s">
        <v>307</v>
      </c>
      <c r="B8" s="382" t="s">
        <v>308</v>
      </c>
      <c r="C8" s="382" t="s">
        <v>309</v>
      </c>
      <c r="D8" s="382" t="s">
        <v>310</v>
      </c>
      <c r="F8" s="383" t="s">
        <v>311</v>
      </c>
      <c r="BK8"/>
      <c r="BL8"/>
    </row>
    <row r="9" spans="1:64" ht="14.65" customHeight="1" x14ac:dyDescent="0.2">
      <c r="A9" s="384" t="s">
        <v>312</v>
      </c>
      <c r="B9" s="385" t="s">
        <v>313</v>
      </c>
      <c r="C9" s="385" t="s">
        <v>314</v>
      </c>
      <c r="D9" s="385" t="s">
        <v>315</v>
      </c>
      <c r="F9" s="385" t="s">
        <v>316</v>
      </c>
      <c r="BK9"/>
      <c r="BL9"/>
    </row>
    <row r="10" spans="1:64" ht="14.65" customHeight="1" x14ac:dyDescent="0.2">
      <c r="A10" s="386" t="s">
        <v>317</v>
      </c>
      <c r="B10" s="387" t="s">
        <v>318</v>
      </c>
      <c r="C10" s="387" t="s">
        <v>319</v>
      </c>
      <c r="D10" s="387" t="s">
        <v>319</v>
      </c>
      <c r="F10" s="389"/>
      <c r="BK10"/>
      <c r="BL10"/>
    </row>
    <row r="11" spans="1:64" ht="14.65" customHeight="1" x14ac:dyDescent="0.2">
      <c r="A11" s="386" t="s">
        <v>320</v>
      </c>
      <c r="B11" s="387" t="s">
        <v>321</v>
      </c>
      <c r="C11" s="387" t="s">
        <v>322</v>
      </c>
      <c r="D11" s="387" t="s">
        <v>323</v>
      </c>
      <c r="F11" s="389"/>
      <c r="BK11"/>
      <c r="BL11"/>
    </row>
    <row r="12" spans="1:64" ht="14.65" customHeight="1" x14ac:dyDescent="0.2">
      <c r="A12" s="386" t="s">
        <v>324</v>
      </c>
      <c r="B12" s="390">
        <v>12.4</v>
      </c>
      <c r="C12" s="391">
        <v>14.3</v>
      </c>
      <c r="D12" s="392">
        <v>14</v>
      </c>
      <c r="F12" s="393">
        <f>AVERAGE(B12:D12)</f>
        <v>13.566666666666668</v>
      </c>
      <c r="G12" s="379" t="s">
        <v>325</v>
      </c>
      <c r="BK12"/>
      <c r="BL12"/>
    </row>
    <row r="13" spans="1:64" ht="14.65" customHeight="1" x14ac:dyDescent="0.2">
      <c r="A13" s="386" t="s">
        <v>326</v>
      </c>
      <c r="B13" s="391">
        <v>14.8</v>
      </c>
      <c r="C13" s="391">
        <v>17.7</v>
      </c>
      <c r="D13" s="392" t="s">
        <v>327</v>
      </c>
      <c r="F13" s="393">
        <f>AVERAGE(B13:D13)</f>
        <v>16.25</v>
      </c>
      <c r="G13" s="379" t="s">
        <v>328</v>
      </c>
      <c r="BK13"/>
      <c r="BL13"/>
    </row>
    <row r="14" spans="1:64" ht="14.65" customHeight="1" x14ac:dyDescent="0.2">
      <c r="A14" s="386" t="s">
        <v>329</v>
      </c>
      <c r="B14" s="387" t="s">
        <v>330</v>
      </c>
      <c r="C14" s="387" t="s">
        <v>331</v>
      </c>
      <c r="D14" s="387" t="s">
        <v>332</v>
      </c>
      <c r="F14" s="389"/>
      <c r="G14" s="379" t="s">
        <v>333</v>
      </c>
      <c r="BK14"/>
      <c r="BL14"/>
    </row>
    <row r="15" spans="1:64" ht="14.65" customHeight="1" x14ac:dyDescent="0.2">
      <c r="A15" s="386" t="s">
        <v>334</v>
      </c>
      <c r="B15" s="387" t="s">
        <v>335</v>
      </c>
      <c r="C15" s="387" t="s">
        <v>336</v>
      </c>
      <c r="D15" s="387" t="s">
        <v>337</v>
      </c>
      <c r="F15" s="389"/>
      <c r="BK15"/>
      <c r="BL15"/>
    </row>
    <row r="16" spans="1:64" ht="14.65" customHeight="1" x14ac:dyDescent="0.2">
      <c r="A16" s="386" t="s">
        <v>338</v>
      </c>
      <c r="B16" s="394" t="s">
        <v>339</v>
      </c>
      <c r="C16" s="394" t="s">
        <v>339</v>
      </c>
      <c r="D16" s="394" t="s">
        <v>339</v>
      </c>
      <c r="F16" s="389"/>
      <c r="BK16"/>
      <c r="BL16"/>
    </row>
    <row r="17" spans="1:64" ht="14.65" customHeight="1" x14ac:dyDescent="0.2">
      <c r="A17" s="386" t="s">
        <v>340</v>
      </c>
      <c r="B17" s="387" t="s">
        <v>341</v>
      </c>
      <c r="C17" s="387" t="s">
        <v>341</v>
      </c>
      <c r="D17" s="387" t="s">
        <v>341</v>
      </c>
      <c r="F17" s="389"/>
      <c r="BK17"/>
      <c r="BL17"/>
    </row>
    <row r="18" spans="1:64" ht="14.65" customHeight="1" x14ac:dyDescent="0.2">
      <c r="A18" s="386" t="s">
        <v>342</v>
      </c>
      <c r="B18" s="387" t="s">
        <v>343</v>
      </c>
      <c r="C18" s="387" t="s">
        <v>343</v>
      </c>
      <c r="D18" s="387" t="s">
        <v>341</v>
      </c>
      <c r="F18" s="389"/>
      <c r="BK18"/>
      <c r="BL18"/>
    </row>
    <row r="19" spans="1:64" ht="14.65" customHeight="1" x14ac:dyDescent="0.2">
      <c r="A19" s="379" t="s">
        <v>344</v>
      </c>
      <c r="B19" s="395">
        <v>85747</v>
      </c>
      <c r="C19" s="395">
        <v>91160</v>
      </c>
      <c r="D19" s="395">
        <v>85790</v>
      </c>
      <c r="F19" s="393">
        <f t="shared" ref="F19:F28" si="0">AVERAGE(B19:E19)</f>
        <v>87565.666666666672</v>
      </c>
      <c r="BK19"/>
      <c r="BL19"/>
    </row>
    <row r="20" spans="1:64" ht="14.65" customHeight="1" x14ac:dyDescent="0.2">
      <c r="A20" s="379" t="s">
        <v>345</v>
      </c>
      <c r="B20" s="395">
        <v>82472</v>
      </c>
      <c r="C20" s="395">
        <v>91322</v>
      </c>
      <c r="D20" s="395">
        <v>82094</v>
      </c>
      <c r="F20" s="393">
        <f t="shared" si="0"/>
        <v>85296</v>
      </c>
      <c r="BK20"/>
      <c r="BL20"/>
    </row>
    <row r="21" spans="1:64" ht="14.65" customHeight="1" x14ac:dyDescent="0.2">
      <c r="A21" s="379" t="s">
        <v>346</v>
      </c>
      <c r="B21" s="395">
        <v>85893</v>
      </c>
      <c r="C21" s="395">
        <v>95100</v>
      </c>
      <c r="D21" s="395">
        <v>86690</v>
      </c>
      <c r="F21" s="393">
        <f t="shared" si="0"/>
        <v>89227.666666666672</v>
      </c>
      <c r="BK21"/>
      <c r="BL21"/>
    </row>
    <row r="22" spans="1:64" ht="14.65" customHeight="1" x14ac:dyDescent="0.2">
      <c r="A22" s="379" t="s">
        <v>347</v>
      </c>
      <c r="B22" s="397">
        <f>AVERAGE(B19:B21)</f>
        <v>84704</v>
      </c>
      <c r="C22" s="397">
        <f>AVERAGE(C19:C21)</f>
        <v>92527.333333333328</v>
      </c>
      <c r="D22" s="397">
        <f>AVERAGE(D19:D21)</f>
        <v>84858</v>
      </c>
      <c r="F22" s="393">
        <f t="shared" si="0"/>
        <v>87363.111111111109</v>
      </c>
      <c r="BK22"/>
      <c r="BL22"/>
    </row>
    <row r="23" spans="1:64" ht="12.75" customHeight="1" x14ac:dyDescent="0.2">
      <c r="A23" s="379" t="s">
        <v>348</v>
      </c>
      <c r="B23" s="397">
        <f>B22*0.2/12</f>
        <v>1411.7333333333333</v>
      </c>
      <c r="C23" s="397">
        <f>C22*0.2/12</f>
        <v>1542.1222222222223</v>
      </c>
      <c r="D23" s="397">
        <f>D22*0.2/12</f>
        <v>1414.3000000000002</v>
      </c>
      <c r="F23" s="393">
        <f t="shared" si="0"/>
        <v>1456.051851851852</v>
      </c>
      <c r="BK23"/>
      <c r="BL23"/>
    </row>
    <row r="24" spans="1:64" ht="12" customHeight="1" x14ac:dyDescent="0.2">
      <c r="A24" s="379" t="s">
        <v>473</v>
      </c>
      <c r="B24" s="397">
        <f>90.94/12</f>
        <v>7.5783333333333331</v>
      </c>
      <c r="C24" s="397">
        <f>86.5/12</f>
        <v>7.208333333333333</v>
      </c>
      <c r="D24" s="397">
        <f>86.5/12</f>
        <v>7.208333333333333</v>
      </c>
      <c r="F24" s="393">
        <f t="shared" si="0"/>
        <v>7.3316666666666661</v>
      </c>
      <c r="BK24"/>
      <c r="BL24"/>
    </row>
    <row r="25" spans="1:64" ht="12.75" customHeight="1" x14ac:dyDescent="0.2">
      <c r="A25" s="379" t="s">
        <v>474</v>
      </c>
      <c r="B25" s="397">
        <f>94.1/12</f>
        <v>7.8416666666666659</v>
      </c>
      <c r="C25" s="397">
        <f>94.69/12</f>
        <v>7.8908333333333331</v>
      </c>
      <c r="D25" s="397">
        <f>94.69/12</f>
        <v>7.8908333333333331</v>
      </c>
      <c r="F25" s="393">
        <f t="shared" si="0"/>
        <v>7.8744444444444435</v>
      </c>
      <c r="BK25"/>
      <c r="BL25"/>
    </row>
    <row r="26" spans="1:64" ht="12.75" customHeight="1" x14ac:dyDescent="0.2">
      <c r="A26" s="379" t="s">
        <v>349</v>
      </c>
      <c r="B26" s="397">
        <v>0</v>
      </c>
      <c r="C26" s="397">
        <v>0</v>
      </c>
      <c r="D26" s="397">
        <v>0</v>
      </c>
      <c r="F26" s="393">
        <f t="shared" si="0"/>
        <v>0</v>
      </c>
      <c r="G26" s="379" t="s">
        <v>350</v>
      </c>
      <c r="BK26"/>
      <c r="BL26"/>
    </row>
    <row r="27" spans="1:64" ht="12.75" customHeight="1" x14ac:dyDescent="0.2">
      <c r="A27" s="379" t="s">
        <v>351</v>
      </c>
      <c r="B27" s="397">
        <f>B$22*0.035/12</f>
        <v>247.05333333333337</v>
      </c>
      <c r="C27" s="397">
        <f>C$22*0.035/12</f>
        <v>269.87138888888893</v>
      </c>
      <c r="D27" s="397">
        <f>D$22*0.035/12</f>
        <v>247.50250000000003</v>
      </c>
      <c r="F27" s="393">
        <f t="shared" si="0"/>
        <v>254.80907407407412</v>
      </c>
      <c r="G27" s="379" t="s">
        <v>352</v>
      </c>
      <c r="H27" s="398"/>
      <c r="I27" s="398"/>
      <c r="BK27"/>
      <c r="BL27"/>
    </row>
    <row r="28" spans="1:64" ht="12.75" customHeight="1" x14ac:dyDescent="0.2">
      <c r="A28" s="379" t="s">
        <v>353</v>
      </c>
      <c r="B28" s="397">
        <f>B$22*0.03/12</f>
        <v>211.76</v>
      </c>
      <c r="C28" s="397">
        <f>C$22*0.03/12</f>
        <v>231.3183333333333</v>
      </c>
      <c r="D28" s="397">
        <f>D$22*0.03/12</f>
        <v>212.14499999999998</v>
      </c>
      <c r="F28" s="393">
        <f t="shared" si="0"/>
        <v>218.40777777777774</v>
      </c>
      <c r="G28" s="379" t="s">
        <v>354</v>
      </c>
      <c r="H28" s="398"/>
      <c r="I28" s="398"/>
      <c r="BK28"/>
      <c r="BL28"/>
    </row>
    <row r="29" spans="1:64" ht="12.75" customHeight="1" x14ac:dyDescent="0.2">
      <c r="B29" s="396"/>
      <c r="C29" s="396"/>
      <c r="D29" s="396"/>
      <c r="H29" s="398"/>
      <c r="I29" s="398"/>
      <c r="BK29"/>
      <c r="BL29"/>
    </row>
    <row r="30" spans="1:64" ht="12.75" customHeight="1" x14ac:dyDescent="0.2">
      <c r="B30" s="396"/>
      <c r="C30" s="396"/>
      <c r="D30" s="396"/>
      <c r="E30" s="396"/>
      <c r="F30" s="379" t="s">
        <v>263</v>
      </c>
      <c r="G30" s="399">
        <f>SUM(F23,F24,F26,F27)</f>
        <v>1718.1925925925927</v>
      </c>
      <c r="I30" s="398"/>
      <c r="J30" s="398"/>
      <c r="BK30"/>
      <c r="BL30"/>
    </row>
    <row r="31" spans="1:64" ht="12.75" customHeight="1" x14ac:dyDescent="0.2">
      <c r="B31" s="396"/>
      <c r="C31" s="396"/>
      <c r="D31" s="396"/>
      <c r="E31" s="396"/>
      <c r="F31" s="379" t="s">
        <v>264</v>
      </c>
      <c r="G31" s="399">
        <f>SUM(F23,F25,F26,F28)</f>
        <v>1682.3340740740741</v>
      </c>
      <c r="I31" s="398"/>
      <c r="J31" s="398"/>
      <c r="BK31"/>
      <c r="BL31"/>
    </row>
    <row r="32" spans="1:64" ht="12.75" customHeight="1" x14ac:dyDescent="0.2">
      <c r="B32" s="396"/>
      <c r="C32" s="396"/>
      <c r="D32" s="396"/>
      <c r="E32" s="396"/>
      <c r="I32" s="398"/>
      <c r="J32" s="398"/>
      <c r="BK32"/>
      <c r="BL32"/>
    </row>
    <row r="33" spans="1:64" ht="12.75" customHeight="1" x14ac:dyDescent="0.2">
      <c r="A33" s="379" t="s">
        <v>355</v>
      </c>
      <c r="B33" s="397">
        <f>B22*0.04/12</f>
        <v>282.34666666666664</v>
      </c>
      <c r="C33" s="397">
        <f>C22*0.04/12</f>
        <v>308.42444444444442</v>
      </c>
      <c r="D33" s="397">
        <f>D22*0.04/12</f>
        <v>282.86</v>
      </c>
      <c r="E33" s="396"/>
      <c r="G33" s="393">
        <f>AVERAGE(B33:D33)</f>
        <v>291.21037037037036</v>
      </c>
      <c r="BK33"/>
      <c r="BL33"/>
    </row>
    <row r="34" spans="1:64" ht="12.75" customHeight="1" x14ac:dyDescent="0.2">
      <c r="A34" s="379" t="s">
        <v>356</v>
      </c>
      <c r="B34" s="397">
        <f>B22*0.02/10</f>
        <v>169.40799999999999</v>
      </c>
      <c r="C34" s="397">
        <f>C22*0.02/10</f>
        <v>185.05466666666666</v>
      </c>
      <c r="D34" s="397">
        <f>D22*0.02/10</f>
        <v>169.71600000000001</v>
      </c>
      <c r="E34" s="396"/>
      <c r="G34" s="393">
        <f>AVERAGE(B34:D34)</f>
        <v>174.72622222222222</v>
      </c>
      <c r="BK34"/>
      <c r="BL34"/>
    </row>
    <row r="35" spans="1:64" ht="12.75" customHeight="1" x14ac:dyDescent="0.2">
      <c r="A35" s="379" t="s">
        <v>357</v>
      </c>
      <c r="B35" s="386" t="s">
        <v>358</v>
      </c>
      <c r="C35" s="386" t="s">
        <v>358</v>
      </c>
      <c r="D35" s="386" t="s">
        <v>358</v>
      </c>
      <c r="BK35"/>
      <c r="BL35"/>
    </row>
    <row r="36" spans="1:64" ht="12.75" customHeight="1" x14ac:dyDescent="0.2">
      <c r="B36" s="396"/>
      <c r="C36" s="396"/>
      <c r="D36" s="396"/>
      <c r="E36" s="396"/>
      <c r="F36" s="396"/>
      <c r="BK36"/>
      <c r="BL36"/>
    </row>
    <row r="37" spans="1:64" ht="14.65" customHeight="1" x14ac:dyDescent="0.2">
      <c r="B37" s="396"/>
      <c r="C37" s="396"/>
      <c r="D37" s="396"/>
      <c r="E37" s="396"/>
      <c r="F37" s="396"/>
      <c r="BK37"/>
      <c r="BL37"/>
    </row>
    <row r="38" spans="1:64" ht="21.4" customHeight="1" x14ac:dyDescent="0.2">
      <c r="A38" s="688" t="s">
        <v>359</v>
      </c>
      <c r="B38" s="688"/>
      <c r="C38" s="688"/>
      <c r="D38" s="688"/>
      <c r="E38" s="688"/>
      <c r="F38" s="688"/>
      <c r="G38" s="688"/>
      <c r="H38" s="688"/>
      <c r="I38" s="688"/>
      <c r="J38" s="688"/>
      <c r="K38" s="688"/>
    </row>
    <row r="39" spans="1:64" ht="17.100000000000001" customHeight="1" x14ac:dyDescent="0.2">
      <c r="A39" s="380"/>
    </row>
    <row r="40" spans="1:64" ht="14.65" customHeight="1" x14ac:dyDescent="0.2">
      <c r="A40" s="381" t="s">
        <v>307</v>
      </c>
      <c r="B40" s="382" t="s">
        <v>308</v>
      </c>
      <c r="C40" s="382" t="s">
        <v>360</v>
      </c>
      <c r="D40" s="382" t="s">
        <v>310</v>
      </c>
      <c r="F40" s="383" t="s">
        <v>311</v>
      </c>
    </row>
    <row r="41" spans="1:64" ht="14.65" customHeight="1" x14ac:dyDescent="0.2">
      <c r="A41" s="384" t="s">
        <v>312</v>
      </c>
      <c r="B41" s="385" t="s">
        <v>361</v>
      </c>
      <c r="C41" s="385" t="s">
        <v>362</v>
      </c>
      <c r="D41" s="385" t="s">
        <v>363</v>
      </c>
      <c r="F41" s="385" t="s">
        <v>316</v>
      </c>
    </row>
    <row r="42" spans="1:64" ht="14.65" customHeight="1" x14ac:dyDescent="0.2">
      <c r="A42" s="386" t="s">
        <v>317</v>
      </c>
      <c r="B42" s="387" t="s">
        <v>364</v>
      </c>
      <c r="C42" s="387" t="s">
        <v>364</v>
      </c>
      <c r="D42" s="387" t="s">
        <v>364</v>
      </c>
      <c r="E42" s="388"/>
      <c r="F42" s="400"/>
    </row>
    <row r="43" spans="1:64" ht="14.65" customHeight="1" x14ac:dyDescent="0.2">
      <c r="A43" s="386" t="s">
        <v>365</v>
      </c>
      <c r="B43" s="387" t="s">
        <v>366</v>
      </c>
      <c r="C43" s="387" t="s">
        <v>366</v>
      </c>
      <c r="D43" s="387" t="s">
        <v>366</v>
      </c>
      <c r="E43" s="388"/>
      <c r="F43" s="400"/>
    </row>
    <row r="44" spans="1:64" ht="14.65" customHeight="1" x14ac:dyDescent="0.2">
      <c r="A44" s="386" t="s">
        <v>367</v>
      </c>
      <c r="B44" s="387">
        <v>8.6999999999999993</v>
      </c>
      <c r="C44" s="387">
        <v>7.9</v>
      </c>
      <c r="D44" s="387">
        <v>10.4</v>
      </c>
      <c r="E44" s="388"/>
      <c r="F44" s="393">
        <f>AVERAGE(B44:D44)</f>
        <v>9</v>
      </c>
      <c r="G44" s="379" t="s">
        <v>325</v>
      </c>
    </row>
    <row r="45" spans="1:64" ht="14.65" customHeight="1" x14ac:dyDescent="0.2">
      <c r="A45" s="386" t="s">
        <v>368</v>
      </c>
      <c r="B45" s="387">
        <v>10.1</v>
      </c>
      <c r="C45" s="387">
        <v>8.5</v>
      </c>
      <c r="D45" s="387">
        <v>10.4</v>
      </c>
      <c r="E45" s="388"/>
      <c r="F45" s="393">
        <f>AVERAGE(B45:D45)</f>
        <v>9.6666666666666661</v>
      </c>
      <c r="G45" s="379" t="s">
        <v>328</v>
      </c>
    </row>
    <row r="46" spans="1:64" ht="14.65" customHeight="1" x14ac:dyDescent="0.2">
      <c r="A46" s="386" t="s">
        <v>329</v>
      </c>
      <c r="B46" s="387" t="s">
        <v>369</v>
      </c>
      <c r="C46" s="387" t="s">
        <v>370</v>
      </c>
      <c r="D46" s="387" t="s">
        <v>371</v>
      </c>
      <c r="E46" s="388"/>
      <c r="F46" s="400"/>
      <c r="G46" s="379" t="s">
        <v>372</v>
      </c>
    </row>
    <row r="47" spans="1:64" ht="14.65" customHeight="1" x14ac:dyDescent="0.2">
      <c r="A47" s="386" t="s">
        <v>373</v>
      </c>
      <c r="B47" s="387" t="s">
        <v>374</v>
      </c>
      <c r="C47" s="387" t="s">
        <v>375</v>
      </c>
      <c r="D47" s="387" t="s">
        <v>374</v>
      </c>
      <c r="E47" s="388"/>
      <c r="F47" s="400"/>
    </row>
    <row r="48" spans="1:64" ht="14.65" customHeight="1" x14ac:dyDescent="0.2">
      <c r="A48" s="386" t="s">
        <v>338</v>
      </c>
      <c r="B48" s="401" t="s">
        <v>376</v>
      </c>
      <c r="C48" s="394" t="s">
        <v>339</v>
      </c>
      <c r="D48" s="394" t="s">
        <v>339</v>
      </c>
      <c r="E48" s="402"/>
      <c r="F48" s="400"/>
    </row>
    <row r="49" spans="1:6" ht="14.65" customHeight="1" x14ac:dyDescent="0.2">
      <c r="A49" s="386" t="s">
        <v>340</v>
      </c>
      <c r="B49" s="387" t="s">
        <v>377</v>
      </c>
      <c r="C49" s="387" t="s">
        <v>378</v>
      </c>
      <c r="D49" s="387" t="s">
        <v>377</v>
      </c>
      <c r="E49" s="388"/>
      <c r="F49" s="400"/>
    </row>
    <row r="50" spans="1:6" ht="14.65" customHeight="1" x14ac:dyDescent="0.2">
      <c r="A50" s="386" t="s">
        <v>342</v>
      </c>
      <c r="B50" s="387" t="s">
        <v>341</v>
      </c>
      <c r="C50" s="387" t="s">
        <v>378</v>
      </c>
      <c r="D50" s="387" t="s">
        <v>379</v>
      </c>
      <c r="E50" s="388"/>
      <c r="F50" s="400"/>
    </row>
    <row r="51" spans="1:6" ht="14.65" customHeight="1" x14ac:dyDescent="0.2">
      <c r="A51" s="379" t="s">
        <v>344</v>
      </c>
      <c r="B51" s="554">
        <v>219073</v>
      </c>
      <c r="C51" s="555" t="s">
        <v>378</v>
      </c>
      <c r="D51" s="554">
        <v>231300</v>
      </c>
      <c r="E51" s="396"/>
      <c r="F51" s="393">
        <f t="shared" ref="F51:F55" si="1">AVERAGE(B51:D51)</f>
        <v>225186.5</v>
      </c>
    </row>
    <row r="52" spans="1:6" ht="14.65" customHeight="1" x14ac:dyDescent="0.2">
      <c r="A52" s="379" t="s">
        <v>345</v>
      </c>
      <c r="B52" s="554">
        <v>206732</v>
      </c>
      <c r="C52" s="554">
        <v>256631</v>
      </c>
      <c r="D52" s="554">
        <v>241215</v>
      </c>
      <c r="E52" s="396"/>
      <c r="F52" s="393">
        <f t="shared" si="1"/>
        <v>234859.33333333334</v>
      </c>
    </row>
    <row r="53" spans="1:6" ht="14.65" customHeight="1" x14ac:dyDescent="0.2">
      <c r="A53" s="379" t="s">
        <v>380</v>
      </c>
      <c r="B53" s="554">
        <v>210883</v>
      </c>
      <c r="C53" s="555" t="s">
        <v>378</v>
      </c>
      <c r="D53" s="554">
        <v>230850</v>
      </c>
      <c r="E53" s="396"/>
      <c r="F53" s="393">
        <f t="shared" si="1"/>
        <v>220866.5</v>
      </c>
    </row>
    <row r="54" spans="1:6" ht="14.65" customHeight="1" x14ac:dyDescent="0.2">
      <c r="A54" s="379" t="s">
        <v>347</v>
      </c>
      <c r="B54" s="397">
        <f>AVERAGE(B51:B53)</f>
        <v>212229.33333333334</v>
      </c>
      <c r="C54" s="397">
        <f>AVERAGE(C51:C53)</f>
        <v>256631</v>
      </c>
      <c r="D54" s="397">
        <f>AVERAGE(D51:D53)</f>
        <v>234455</v>
      </c>
      <c r="E54" s="396"/>
      <c r="F54" s="393">
        <f>AVERAGE(B54:D54)</f>
        <v>234438.44444444447</v>
      </c>
    </row>
    <row r="55" spans="1:6" ht="14.65" customHeight="1" x14ac:dyDescent="0.2">
      <c r="A55" s="379" t="s">
        <v>381</v>
      </c>
      <c r="B55" s="397">
        <f>B54*0.2/12</f>
        <v>3537.1555555555556</v>
      </c>
      <c r="C55" s="397">
        <f>C54*0.2/12</f>
        <v>4277.1833333333334</v>
      </c>
      <c r="D55" s="397">
        <f>D54*0.2/12</f>
        <v>3907.5833333333335</v>
      </c>
      <c r="E55" s="396"/>
      <c r="F55" s="393">
        <f t="shared" si="1"/>
        <v>3907.3074074074079</v>
      </c>
    </row>
    <row r="56" spans="1:6" ht="14.65" customHeight="1" x14ac:dyDescent="0.2">
      <c r="A56" s="379" t="s">
        <v>382</v>
      </c>
      <c r="B56" s="396">
        <f>B54*0.01/15</f>
        <v>141.48622222222224</v>
      </c>
      <c r="C56" s="397">
        <f>C54*0.01/15</f>
        <v>171.08733333333333</v>
      </c>
      <c r="D56" s="397">
        <f>D54*0.01/20</f>
        <v>117.22750000000001</v>
      </c>
      <c r="E56" s="396"/>
      <c r="F56" s="393">
        <f>AVERAGE(B56:D56)</f>
        <v>143.26701851851854</v>
      </c>
    </row>
    <row r="57" spans="1:6" ht="14.65" customHeight="1" x14ac:dyDescent="0.2">
      <c r="A57" s="379" t="s">
        <v>357</v>
      </c>
      <c r="B57" s="386" t="s">
        <v>383</v>
      </c>
      <c r="C57" s="386" t="s">
        <v>383</v>
      </c>
      <c r="D57" s="386" t="s">
        <v>384</v>
      </c>
      <c r="E57" s="396"/>
    </row>
    <row r="59" spans="1:6" x14ac:dyDescent="0.2">
      <c r="A59" s="687" t="s">
        <v>477</v>
      </c>
      <c r="B59" s="687"/>
      <c r="C59" s="687"/>
      <c r="D59" s="687"/>
      <c r="F59" s="383" t="s">
        <v>311</v>
      </c>
    </row>
    <row r="60" spans="1:6" x14ac:dyDescent="0.2">
      <c r="A60" s="384" t="s">
        <v>478</v>
      </c>
      <c r="B60" s="385" t="s">
        <v>480</v>
      </c>
      <c r="C60" s="385" t="s">
        <v>481</v>
      </c>
      <c r="D60" s="385" t="s">
        <v>479</v>
      </c>
      <c r="F60" s="385" t="s">
        <v>316</v>
      </c>
    </row>
    <row r="61" spans="1:6" x14ac:dyDescent="0.2">
      <c r="A61" s="379" t="s">
        <v>484</v>
      </c>
      <c r="B61" s="379" t="s">
        <v>482</v>
      </c>
      <c r="C61" s="556">
        <v>44838</v>
      </c>
      <c r="D61" s="379">
        <v>698</v>
      </c>
    </row>
    <row r="62" spans="1:6" x14ac:dyDescent="0.2">
      <c r="A62" s="379" t="s">
        <v>485</v>
      </c>
      <c r="B62" s="379" t="s">
        <v>483</v>
      </c>
      <c r="C62" s="556">
        <v>44768</v>
      </c>
      <c r="D62" s="379">
        <v>933</v>
      </c>
    </row>
    <row r="63" spans="1:6" x14ac:dyDescent="0.2">
      <c r="A63" s="379" t="s">
        <v>486</v>
      </c>
      <c r="B63" s="379" t="s">
        <v>487</v>
      </c>
      <c r="C63" s="556">
        <v>44788</v>
      </c>
      <c r="D63" s="379">
        <v>1097</v>
      </c>
      <c r="F63" s="393">
        <f>AVERAGE(D61:D63)</f>
        <v>909.33333333333337</v>
      </c>
    </row>
  </sheetData>
  <mergeCells count="7">
    <mergeCell ref="A59:D59"/>
    <mergeCell ref="A38:K38"/>
    <mergeCell ref="A1:K1"/>
    <mergeCell ref="A2:K2"/>
    <mergeCell ref="A3:K3"/>
    <mergeCell ref="A4:K4"/>
    <mergeCell ref="A6:K6"/>
  </mergeCells>
  <pageMargins left="0.78740157480314954" right="0.78740157480314954" top="1.123228346456693" bottom="1.123228346456693" header="0.78740157480314954" footer="0.78740157480314954"/>
  <pageSetup paperSize="9" fitToWidth="0" fitToHeight="0" orientation="portrait" r:id="rId1"/>
  <headerFooter alignWithMargins="0">
    <oddHeader>&amp;C&amp;"Arial1,Regular"&amp;10&amp;A</oddHeader>
    <oddFooter>&amp;C&amp;"Arial1,Regular"&amp;10Página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showGridLines="0" topLeftCell="A31" workbookViewId="0">
      <selection activeCell="J52" sqref="J52"/>
    </sheetView>
  </sheetViews>
  <sheetFormatPr defaultRowHeight="14.65" customHeight="1" x14ac:dyDescent="0.2"/>
  <cols>
    <col min="1" max="1" width="17.875" customWidth="1"/>
    <col min="2" max="2" width="32.875" customWidth="1"/>
    <col min="3" max="4" width="11.875" customWidth="1"/>
    <col min="5" max="5" width="11.375" customWidth="1"/>
    <col min="6" max="6" width="8.125" customWidth="1"/>
    <col min="7" max="7" width="13.5" customWidth="1"/>
    <col min="8" max="64" width="8.125" customWidth="1"/>
  </cols>
  <sheetData>
    <row r="1" spans="1:5" ht="24.4" customHeight="1" x14ac:dyDescent="0.2">
      <c r="A1" s="625" t="s">
        <v>475</v>
      </c>
      <c r="B1" s="625"/>
      <c r="C1" s="625"/>
      <c r="D1" s="625"/>
      <c r="E1" s="625"/>
    </row>
    <row r="2" spans="1:5" ht="12.75" customHeight="1" x14ac:dyDescent="0.2">
      <c r="A2" s="628" t="s">
        <v>71</v>
      </c>
      <c r="B2" s="628"/>
      <c r="C2" s="628"/>
      <c r="D2" s="628"/>
      <c r="E2" s="628"/>
    </row>
    <row r="3" spans="1:5" ht="12.75" customHeight="1" x14ac:dyDescent="0.2">
      <c r="A3" s="629" t="s">
        <v>72</v>
      </c>
      <c r="B3" s="629"/>
      <c r="C3" s="629"/>
      <c r="D3" s="629"/>
      <c r="E3" s="629"/>
    </row>
    <row r="4" spans="1:5" ht="27.75" customHeight="1" x14ac:dyDescent="0.2">
      <c r="A4" s="590" t="s">
        <v>393</v>
      </c>
      <c r="B4" s="590"/>
      <c r="C4" s="590"/>
      <c r="D4" s="590"/>
      <c r="E4" s="590"/>
    </row>
    <row r="5" spans="1:5" ht="14.25" customHeight="1" x14ac:dyDescent="0.2">
      <c r="A5" s="591"/>
      <c r="B5" s="591"/>
      <c r="C5" s="591"/>
      <c r="D5" s="591"/>
      <c r="E5" s="591"/>
    </row>
    <row r="6" spans="1:5" ht="27.75" customHeight="1" x14ac:dyDescent="0.2">
      <c r="A6" s="410" t="s">
        <v>81</v>
      </c>
      <c r="B6" s="410" t="s">
        <v>82</v>
      </c>
      <c r="C6" s="410" t="s">
        <v>394</v>
      </c>
      <c r="D6" s="411" t="s">
        <v>395</v>
      </c>
      <c r="E6" s="411" t="s">
        <v>396</v>
      </c>
    </row>
    <row r="7" spans="1:5" ht="14.25" customHeight="1" x14ac:dyDescent="0.2">
      <c r="A7" s="412"/>
      <c r="B7" s="89" t="s">
        <v>450</v>
      </c>
      <c r="C7" s="413"/>
      <c r="D7" s="412"/>
      <c r="E7" s="413">
        <f>TRUNC((E11/D11),2)</f>
        <v>4.2</v>
      </c>
    </row>
    <row r="8" spans="1:5" ht="14.25" customHeight="1" x14ac:dyDescent="0.2">
      <c r="A8" s="405">
        <v>1</v>
      </c>
      <c r="B8" s="405" t="s">
        <v>94</v>
      </c>
      <c r="C8" s="414">
        <v>4.5</v>
      </c>
      <c r="D8" s="415">
        <v>2</v>
      </c>
      <c r="E8" s="416">
        <f>C8*D8</f>
        <v>9</v>
      </c>
    </row>
    <row r="9" spans="1:5" ht="14.25" customHeight="1" x14ac:dyDescent="0.2">
      <c r="A9" s="405">
        <v>2</v>
      </c>
      <c r="B9" s="405" t="s">
        <v>449</v>
      </c>
      <c r="C9" s="414">
        <v>4</v>
      </c>
      <c r="D9" s="415">
        <v>2</v>
      </c>
      <c r="E9" s="416">
        <f>C9*D9</f>
        <v>8</v>
      </c>
    </row>
    <row r="10" spans="1:5" ht="14.25" customHeight="1" x14ac:dyDescent="0.2">
      <c r="A10" s="405">
        <v>3</v>
      </c>
      <c r="B10" s="405" t="s">
        <v>96</v>
      </c>
      <c r="C10" s="414">
        <v>4</v>
      </c>
      <c r="D10" s="415">
        <v>1</v>
      </c>
      <c r="E10" s="416">
        <f>C10*D10</f>
        <v>4</v>
      </c>
    </row>
    <row r="11" spans="1:5" ht="14.25" customHeight="1" x14ac:dyDescent="0.2">
      <c r="A11" s="405"/>
      <c r="B11" s="405"/>
      <c r="C11" s="417" t="s">
        <v>93</v>
      </c>
      <c r="D11" s="405">
        <f>SUM(D8:D10)</f>
        <v>5</v>
      </c>
      <c r="E11" s="418">
        <f>SUM(E8:E10)</f>
        <v>21</v>
      </c>
    </row>
    <row r="12" spans="1:5" ht="14.25" customHeight="1" x14ac:dyDescent="0.2">
      <c r="A12" s="412"/>
      <c r="B12" s="89" t="s">
        <v>451</v>
      </c>
      <c r="C12" s="413"/>
      <c r="D12" s="412"/>
      <c r="E12" s="413">
        <f>TRUNC((E15/D15),2)</f>
        <v>5.5</v>
      </c>
    </row>
    <row r="13" spans="1:5" ht="14.25" customHeight="1" x14ac:dyDescent="0.2">
      <c r="A13" s="405">
        <v>4</v>
      </c>
      <c r="B13" s="405" t="s">
        <v>95</v>
      </c>
      <c r="C13" s="414">
        <v>5.5</v>
      </c>
      <c r="D13" s="415">
        <v>1</v>
      </c>
      <c r="E13" s="416">
        <f>C13*D13</f>
        <v>5.5</v>
      </c>
    </row>
    <row r="14" spans="1:5" ht="14.25" customHeight="1" x14ac:dyDescent="0.2">
      <c r="A14" s="405">
        <v>5</v>
      </c>
      <c r="B14" s="405" t="s">
        <v>98</v>
      </c>
      <c r="C14" s="414">
        <v>5.5</v>
      </c>
      <c r="D14" s="415">
        <f>SUM('Informações e Quantidades'!E13:E13)</f>
        <v>1</v>
      </c>
      <c r="E14" s="416">
        <f>C14*D14</f>
        <v>5.5</v>
      </c>
    </row>
    <row r="15" spans="1:5" ht="14.25" customHeight="1" x14ac:dyDescent="0.2">
      <c r="A15" s="405"/>
      <c r="B15" s="405"/>
      <c r="C15" s="417" t="s">
        <v>93</v>
      </c>
      <c r="D15" s="405">
        <f>SUM(D13:D14)</f>
        <v>2</v>
      </c>
      <c r="E15" s="418">
        <f>SUM(E13:E14)</f>
        <v>11</v>
      </c>
    </row>
    <row r="16" spans="1:5" ht="14.25" customHeight="1" x14ac:dyDescent="0.2">
      <c r="A16" s="412"/>
      <c r="B16" s="89" t="s">
        <v>453</v>
      </c>
      <c r="C16" s="413"/>
      <c r="D16" s="412"/>
      <c r="E16" s="413">
        <f>TRUNC((E20/D20),2)</f>
        <v>4.5199999999999996</v>
      </c>
    </row>
    <row r="17" spans="1:5" ht="14.25" customHeight="1" x14ac:dyDescent="0.2">
      <c r="A17" s="98">
        <v>6</v>
      </c>
      <c r="B17" s="98" t="s">
        <v>99</v>
      </c>
      <c r="C17" s="414">
        <v>4.8</v>
      </c>
      <c r="D17" s="415">
        <f>SUM('Informações e Quantidades'!E15:E15)</f>
        <v>2</v>
      </c>
      <c r="E17" s="416">
        <f t="shared" ref="E17:E25" si="0">C17*D17</f>
        <v>9.6</v>
      </c>
    </row>
    <row r="18" spans="1:5" ht="14.25" customHeight="1" x14ac:dyDescent="0.2">
      <c r="A18" s="98">
        <v>7</v>
      </c>
      <c r="B18" s="98" t="s">
        <v>100</v>
      </c>
      <c r="C18" s="414">
        <v>4.5</v>
      </c>
      <c r="D18" s="415">
        <f>SUM('Informações e Quantidades'!E16:E16)</f>
        <v>1</v>
      </c>
      <c r="E18" s="416">
        <f t="shared" si="0"/>
        <v>4.5</v>
      </c>
    </row>
    <row r="19" spans="1:5" ht="14.25" customHeight="1" x14ac:dyDescent="0.2">
      <c r="A19" s="98">
        <v>8</v>
      </c>
      <c r="B19" s="98" t="s">
        <v>101</v>
      </c>
      <c r="C19" s="414">
        <v>4</v>
      </c>
      <c r="D19" s="415">
        <f>SUM('Informações e Quantidades'!E17:E17)</f>
        <v>1</v>
      </c>
      <c r="E19" s="416">
        <f t="shared" si="0"/>
        <v>4</v>
      </c>
    </row>
    <row r="20" spans="1:5" ht="14.25" customHeight="1" x14ac:dyDescent="0.2">
      <c r="A20" s="98"/>
      <c r="B20" s="98"/>
      <c r="C20" s="419" t="s">
        <v>93</v>
      </c>
      <c r="D20" s="98">
        <f>SUM(D17:D19)</f>
        <v>4</v>
      </c>
      <c r="E20" s="77">
        <f>SUM(E17:E19)</f>
        <v>18.100000000000001</v>
      </c>
    </row>
    <row r="21" spans="1:5" ht="14.25" customHeight="1" x14ac:dyDescent="0.2">
      <c r="A21" s="412"/>
      <c r="B21" s="89" t="s">
        <v>452</v>
      </c>
      <c r="C21" s="413"/>
      <c r="D21" s="412"/>
      <c r="E21" s="413">
        <f>TRUNC((E26-E24)*(D24/D26),2)</f>
        <v>4.75</v>
      </c>
    </row>
    <row r="22" spans="1:5" ht="14.25" customHeight="1" x14ac:dyDescent="0.2">
      <c r="A22" s="98">
        <v>9</v>
      </c>
      <c r="B22" s="98" t="s">
        <v>102</v>
      </c>
      <c r="C22" s="414">
        <v>4.25</v>
      </c>
      <c r="D22" s="415">
        <v>0</v>
      </c>
      <c r="E22" s="416">
        <f t="shared" si="0"/>
        <v>0</v>
      </c>
    </row>
    <row r="23" spans="1:5" ht="14.25" customHeight="1" x14ac:dyDescent="0.2">
      <c r="A23" s="98">
        <v>10</v>
      </c>
      <c r="B23" s="98" t="s">
        <v>103</v>
      </c>
      <c r="C23" s="414">
        <v>4</v>
      </c>
      <c r="D23" s="415">
        <f>SUM('Informações e Quantidades'!E20:E20)</f>
        <v>1</v>
      </c>
      <c r="E23" s="416">
        <f t="shared" si="0"/>
        <v>4</v>
      </c>
    </row>
    <row r="24" spans="1:5" ht="14.25" customHeight="1" x14ac:dyDescent="0.2">
      <c r="A24" s="98">
        <v>11</v>
      </c>
      <c r="B24" s="98" t="s">
        <v>104</v>
      </c>
      <c r="C24" s="414">
        <v>5</v>
      </c>
      <c r="D24" s="415">
        <f>SUM('Informações e Quantidades'!E21:E21)</f>
        <v>2</v>
      </c>
      <c r="E24" s="416">
        <f t="shared" si="0"/>
        <v>10</v>
      </c>
    </row>
    <row r="25" spans="1:5" ht="14.25" customHeight="1" x14ac:dyDescent="0.2">
      <c r="A25" s="98">
        <v>12</v>
      </c>
      <c r="B25" s="98" t="s">
        <v>105</v>
      </c>
      <c r="C25" s="414">
        <v>5.5</v>
      </c>
      <c r="D25" s="415">
        <v>1</v>
      </c>
      <c r="E25" s="416">
        <f t="shared" si="0"/>
        <v>5.5</v>
      </c>
    </row>
    <row r="26" spans="1:5" ht="14.25" customHeight="1" x14ac:dyDescent="0.2">
      <c r="A26" s="98"/>
      <c r="B26" s="98"/>
      <c r="C26" s="419" t="s">
        <v>93</v>
      </c>
      <c r="D26" s="98">
        <f>SUM(D22:D25)</f>
        <v>4</v>
      </c>
      <c r="E26" s="77">
        <f>SUM(E22:E25)</f>
        <v>19.5</v>
      </c>
    </row>
    <row r="28" spans="1:5" ht="64.349999999999994" customHeight="1" x14ac:dyDescent="0.2">
      <c r="A28" s="692" t="s">
        <v>397</v>
      </c>
      <c r="B28" s="692"/>
      <c r="C28" s="692"/>
      <c r="D28" s="692"/>
      <c r="E28" s="692"/>
    </row>
    <row r="30" spans="1:5" ht="14.65" customHeight="1" x14ac:dyDescent="0.2">
      <c r="A30" s="590" t="s">
        <v>398</v>
      </c>
      <c r="B30" s="590"/>
      <c r="C30" s="590"/>
      <c r="D30" s="590"/>
      <c r="E30" s="590"/>
    </row>
    <row r="31" spans="1:5" ht="14.65" customHeight="1" x14ac:dyDescent="0.2">
      <c r="A31" s="420"/>
      <c r="B31" s="421"/>
      <c r="C31" s="421"/>
      <c r="D31" s="421"/>
      <c r="E31" s="421"/>
    </row>
    <row r="32" spans="1:5" ht="14.65" customHeight="1" x14ac:dyDescent="0.2">
      <c r="A32" s="693" t="s">
        <v>440</v>
      </c>
      <c r="B32" s="693"/>
      <c r="C32" s="693"/>
      <c r="D32" s="693"/>
      <c r="E32" s="693"/>
    </row>
    <row r="33" spans="1:9" ht="54" customHeight="1" x14ac:dyDescent="0.2">
      <c r="A33" s="562" t="s">
        <v>399</v>
      </c>
      <c r="B33" s="563" t="s">
        <v>400</v>
      </c>
      <c r="C33" s="563" t="s">
        <v>401</v>
      </c>
      <c r="D33" s="563" t="s">
        <v>402</v>
      </c>
      <c r="E33" s="562" t="s">
        <v>403</v>
      </c>
      <c r="G33" s="422"/>
      <c r="H33" s="422"/>
      <c r="I33" s="422"/>
    </row>
    <row r="34" spans="1:9" ht="14.65" customHeight="1" x14ac:dyDescent="0.2">
      <c r="A34" s="564" t="s">
        <v>404</v>
      </c>
      <c r="B34" s="565">
        <v>73.150000000000006</v>
      </c>
      <c r="C34" s="566">
        <v>2</v>
      </c>
      <c r="D34" s="567">
        <f>ROUND((B34*C34),2)</f>
        <v>146.30000000000001</v>
      </c>
      <c r="E34" s="567">
        <f>ROUND((D34/12),2)</f>
        <v>12.19</v>
      </c>
      <c r="G34" s="422"/>
      <c r="H34" s="422"/>
      <c r="I34" s="422"/>
    </row>
    <row r="35" spans="1:9" ht="14.65" customHeight="1" x14ac:dyDescent="0.2">
      <c r="A35" s="568" t="s">
        <v>405</v>
      </c>
      <c r="B35" s="569">
        <v>60.42</v>
      </c>
      <c r="C35" s="570">
        <v>2</v>
      </c>
      <c r="D35" s="571">
        <f>ROUND((B35*C35),2)</f>
        <v>120.84</v>
      </c>
      <c r="E35" s="571">
        <f>ROUND((D35/12),2)</f>
        <v>10.07</v>
      </c>
      <c r="G35" s="422"/>
      <c r="H35" s="422"/>
      <c r="I35" s="422"/>
    </row>
    <row r="36" spans="1:9" ht="14.65" customHeight="1" x14ac:dyDescent="0.2">
      <c r="A36" s="564" t="s">
        <v>406</v>
      </c>
      <c r="B36" s="565">
        <v>9.93</v>
      </c>
      <c r="C36" s="566">
        <v>1</v>
      </c>
      <c r="D36" s="567">
        <f>ROUND((B36*C36),2)</f>
        <v>9.93</v>
      </c>
      <c r="E36" s="567">
        <f>ROUND((D36/12),2)</f>
        <v>0.83</v>
      </c>
      <c r="G36" s="422"/>
      <c r="H36" s="422"/>
      <c r="I36" s="422"/>
    </row>
    <row r="37" spans="1:9" ht="14.65" customHeight="1" x14ac:dyDescent="0.2">
      <c r="A37" s="701" t="s">
        <v>407</v>
      </c>
      <c r="B37" s="701"/>
      <c r="C37" s="701"/>
      <c r="D37" s="701"/>
      <c r="E37" s="572">
        <f>TRUNC(SUM(E34:E36),2)</f>
        <v>23.09</v>
      </c>
    </row>
    <row r="38" spans="1:9" ht="14.65" customHeight="1" x14ac:dyDescent="0.2">
      <c r="A38" s="573"/>
      <c r="B38" s="573"/>
      <c r="C38" s="573"/>
      <c r="D38" s="573"/>
      <c r="E38" s="573"/>
    </row>
    <row r="39" spans="1:9" ht="14.65" customHeight="1" x14ac:dyDescent="0.2">
      <c r="A39" s="693" t="s">
        <v>408</v>
      </c>
      <c r="B39" s="693"/>
      <c r="C39" s="693"/>
      <c r="D39" s="693"/>
      <c r="E39" s="693"/>
    </row>
    <row r="40" spans="1:9" ht="42" customHeight="1" x14ac:dyDescent="0.2">
      <c r="A40" s="562" t="s">
        <v>399</v>
      </c>
      <c r="B40" s="563" t="s">
        <v>400</v>
      </c>
      <c r="C40" s="563" t="s">
        <v>401</v>
      </c>
      <c r="D40" s="563" t="s">
        <v>402</v>
      </c>
      <c r="E40" s="562" t="s">
        <v>403</v>
      </c>
    </row>
    <row r="41" spans="1:9" ht="14.65" customHeight="1" x14ac:dyDescent="0.2">
      <c r="A41" s="564" t="s">
        <v>404</v>
      </c>
      <c r="B41" s="565">
        <v>73.150000000000006</v>
      </c>
      <c r="C41" s="566">
        <v>3</v>
      </c>
      <c r="D41" s="567">
        <f>ROUND((B41*C41),2)</f>
        <v>219.45</v>
      </c>
      <c r="E41" s="567">
        <f>ROUND((D41/12),2)</f>
        <v>18.29</v>
      </c>
    </row>
    <row r="42" spans="1:9" ht="14.65" customHeight="1" x14ac:dyDescent="0.2">
      <c r="A42" s="568" t="s">
        <v>405</v>
      </c>
      <c r="B42" s="569">
        <v>60.42</v>
      </c>
      <c r="C42" s="570">
        <v>3</v>
      </c>
      <c r="D42" s="571">
        <f>ROUND((B42*C42),2)</f>
        <v>181.26</v>
      </c>
      <c r="E42" s="571">
        <f>ROUND((D42/12),2)</f>
        <v>15.11</v>
      </c>
    </row>
    <row r="43" spans="1:9" ht="14.65" customHeight="1" x14ac:dyDescent="0.2">
      <c r="A43" s="564" t="s">
        <v>406</v>
      </c>
      <c r="B43" s="565">
        <v>9.93</v>
      </c>
      <c r="C43" s="574">
        <v>1</v>
      </c>
      <c r="D43" s="567">
        <f>ROUND((B43*C43),2)</f>
        <v>9.93</v>
      </c>
      <c r="E43" s="567">
        <f>ROUND((D43/12),2)</f>
        <v>0.83</v>
      </c>
    </row>
    <row r="44" spans="1:9" ht="14.65" customHeight="1" x14ac:dyDescent="0.2">
      <c r="A44" s="701" t="s">
        <v>407</v>
      </c>
      <c r="B44" s="701"/>
      <c r="C44" s="701"/>
      <c r="D44" s="701"/>
      <c r="E44" s="572">
        <f>TRUNC(SUM(E41:E43),2)</f>
        <v>34.229999999999997</v>
      </c>
    </row>
    <row r="45" spans="1:9" ht="14.65" customHeight="1" x14ac:dyDescent="0.2">
      <c r="A45" s="573"/>
      <c r="B45" s="573"/>
      <c r="C45" s="573"/>
      <c r="D45" s="573"/>
      <c r="E45" s="573"/>
    </row>
    <row r="46" spans="1:9" ht="14.65" customHeight="1" x14ac:dyDescent="0.2">
      <c r="A46" s="693" t="s">
        <v>431</v>
      </c>
      <c r="B46" s="693"/>
      <c r="C46" s="693"/>
      <c r="D46" s="693"/>
      <c r="E46" s="693"/>
    </row>
    <row r="47" spans="1:9" ht="44.25" customHeight="1" x14ac:dyDescent="0.2">
      <c r="A47" s="562" t="s">
        <v>399</v>
      </c>
      <c r="B47" s="563" t="s">
        <v>400</v>
      </c>
      <c r="C47" s="563" t="s">
        <v>401</v>
      </c>
      <c r="D47" s="563" t="s">
        <v>402</v>
      </c>
      <c r="E47" s="562" t="s">
        <v>403</v>
      </c>
    </row>
    <row r="48" spans="1:9" ht="14.85" customHeight="1" x14ac:dyDescent="0.2">
      <c r="A48" s="564" t="s">
        <v>404</v>
      </c>
      <c r="B48" s="565">
        <v>73.150000000000006</v>
      </c>
      <c r="C48" s="566">
        <v>4</v>
      </c>
      <c r="D48" s="567">
        <f>ROUND((B48*C48),2)</f>
        <v>292.60000000000002</v>
      </c>
      <c r="E48" s="567">
        <f>ROUND((D48/12),2)</f>
        <v>24.38</v>
      </c>
    </row>
    <row r="49" spans="1:5" ht="14.65" customHeight="1" x14ac:dyDescent="0.2">
      <c r="A49" s="568" t="s">
        <v>405</v>
      </c>
      <c r="B49" s="569">
        <v>60.42</v>
      </c>
      <c r="C49" s="570">
        <v>2</v>
      </c>
      <c r="D49" s="571">
        <f>ROUND((B49*C49),2)</f>
        <v>120.84</v>
      </c>
      <c r="E49" s="571">
        <f>ROUND((D49/12),2)</f>
        <v>10.07</v>
      </c>
    </row>
    <row r="50" spans="1:5" ht="14.65" customHeight="1" x14ac:dyDescent="0.2">
      <c r="A50" s="564" t="s">
        <v>406</v>
      </c>
      <c r="B50" s="565">
        <v>9.93</v>
      </c>
      <c r="C50" s="574">
        <v>1</v>
      </c>
      <c r="D50" s="567">
        <f>ROUND((B50*C50),2)</f>
        <v>9.93</v>
      </c>
      <c r="E50" s="567">
        <f>ROUND((D50/12),2)</f>
        <v>0.83</v>
      </c>
    </row>
    <row r="51" spans="1:5" ht="14.65" customHeight="1" x14ac:dyDescent="0.2">
      <c r="A51" s="694" t="s">
        <v>407</v>
      </c>
      <c r="B51" s="695"/>
      <c r="C51" s="695"/>
      <c r="D51" s="696"/>
      <c r="E51" s="572">
        <f>TRUNC(SUM(E48:E50),2)</f>
        <v>35.28</v>
      </c>
    </row>
    <row r="52" spans="1:5" ht="14.65" customHeight="1" x14ac:dyDescent="0.2">
      <c r="A52" s="697" t="s">
        <v>81</v>
      </c>
      <c r="B52" s="699" t="s">
        <v>409</v>
      </c>
      <c r="C52" s="575" t="s">
        <v>410</v>
      </c>
      <c r="D52" s="575"/>
      <c r="E52" s="575"/>
    </row>
    <row r="53" spans="1:5" ht="14.65" customHeight="1" x14ac:dyDescent="0.2">
      <c r="A53" s="698"/>
      <c r="B53" s="700"/>
      <c r="C53" s="576" t="s">
        <v>411</v>
      </c>
      <c r="D53" s="576" t="s">
        <v>412</v>
      </c>
      <c r="E53" s="576" t="s">
        <v>413</v>
      </c>
    </row>
    <row r="54" spans="1:5" ht="14.65" customHeight="1" x14ac:dyDescent="0.2">
      <c r="A54" s="389">
        <v>1</v>
      </c>
      <c r="B54" s="400"/>
      <c r="C54" s="577">
        <v>59.99</v>
      </c>
      <c r="D54" s="577">
        <v>60.99</v>
      </c>
      <c r="E54" s="577">
        <v>54.9</v>
      </c>
    </row>
    <row r="55" spans="1:5" ht="14.65" customHeight="1" x14ac:dyDescent="0.2">
      <c r="A55" s="379"/>
      <c r="B55" s="379"/>
      <c r="C55" s="578"/>
      <c r="D55" s="578"/>
      <c r="E55" s="578"/>
    </row>
    <row r="56" spans="1:5" ht="14.65" customHeight="1" x14ac:dyDescent="0.2">
      <c r="A56" s="379"/>
      <c r="B56" s="379"/>
      <c r="C56" s="579" t="s">
        <v>414</v>
      </c>
      <c r="D56" s="579">
        <f>TRUNC(AVERAGE(C54:E54),2)</f>
        <v>58.62</v>
      </c>
      <c r="E56" s="579"/>
    </row>
  </sheetData>
  <mergeCells count="15">
    <mergeCell ref="A52:A53"/>
    <mergeCell ref="B52:B53"/>
    <mergeCell ref="A30:E30"/>
    <mergeCell ref="A32:E32"/>
    <mergeCell ref="A37:D37"/>
    <mergeCell ref="A39:E39"/>
    <mergeCell ref="A44:D44"/>
    <mergeCell ref="A28:E28"/>
    <mergeCell ref="A46:E46"/>
    <mergeCell ref="A51:D51"/>
    <mergeCell ref="A1:E1"/>
    <mergeCell ref="A2:E2"/>
    <mergeCell ref="A3:E3"/>
    <mergeCell ref="A4:E4"/>
    <mergeCell ref="A5:E5"/>
  </mergeCells>
  <pageMargins left="0.78740157480314954" right="0.78740157480314954" top="1.1511811023622047" bottom="1.1511811023622047" header="0.78740157480314954" footer="0.78740157480314954"/>
  <pageSetup paperSize="9" fitToWidth="0" fitToHeight="0" orientation="portrait" r:id="rId1"/>
  <headerFooter alignWithMargins="0">
    <oddHeader>&amp;C&amp;"Times New Roman1,Regular"&amp;12&amp;A</oddHeader>
    <oddFooter>&amp;C&amp;"Times New Roman1,Regular"&amp;12Página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530"/>
  <sheetViews>
    <sheetView showGridLines="0" topLeftCell="A40" workbookViewId="0">
      <selection activeCell="L26" sqref="L26"/>
    </sheetView>
  </sheetViews>
  <sheetFormatPr defaultRowHeight="14.65" customHeight="1" x14ac:dyDescent="0.2"/>
  <cols>
    <col min="1" max="1" width="10.75" style="429" customWidth="1"/>
    <col min="2" max="2" width="40.125" customWidth="1"/>
    <col min="3" max="3" width="10.5" customWidth="1"/>
    <col min="4" max="65" width="10.75" customWidth="1"/>
  </cols>
  <sheetData>
    <row r="1" spans="1:10" ht="24.6" customHeight="1" x14ac:dyDescent="0.2">
      <c r="A1" s="625" t="s">
        <v>475</v>
      </c>
      <c r="B1" s="626"/>
      <c r="C1" s="626"/>
      <c r="D1" s="626"/>
      <c r="E1" s="626"/>
      <c r="F1" s="626"/>
      <c r="G1" s="626"/>
      <c r="H1" s="627"/>
    </row>
    <row r="2" spans="1:10" ht="14.65" customHeight="1" x14ac:dyDescent="0.2">
      <c r="A2" s="628" t="s">
        <v>71</v>
      </c>
      <c r="B2" s="628"/>
      <c r="C2" s="628"/>
      <c r="D2" s="628"/>
      <c r="E2" s="628"/>
      <c r="F2" s="628"/>
      <c r="G2" s="628"/>
      <c r="H2" s="628"/>
    </row>
    <row r="3" spans="1:10" ht="14.65" customHeight="1" x14ac:dyDescent="0.2">
      <c r="A3" s="629" t="s">
        <v>259</v>
      </c>
      <c r="B3" s="629"/>
      <c r="C3" s="629"/>
      <c r="D3" s="629"/>
      <c r="E3" s="629"/>
      <c r="F3" s="629"/>
      <c r="G3" s="629"/>
      <c r="H3" s="629"/>
    </row>
    <row r="4" spans="1:10" ht="24.6" customHeight="1" x14ac:dyDescent="0.2">
      <c r="A4" s="630" t="s">
        <v>415</v>
      </c>
      <c r="B4" s="631"/>
      <c r="C4" s="631"/>
      <c r="D4" s="631"/>
      <c r="E4" s="631"/>
      <c r="F4" s="631"/>
      <c r="G4" s="631"/>
      <c r="H4" s="632"/>
    </row>
    <row r="5" spans="1:10" ht="14.65" customHeight="1" x14ac:dyDescent="0.2">
      <c r="A5" s="202"/>
      <c r="B5" s="202"/>
      <c r="C5" s="202"/>
      <c r="D5" s="202"/>
      <c r="E5" s="202"/>
      <c r="F5" s="202"/>
      <c r="G5" s="202"/>
      <c r="H5" s="202"/>
    </row>
    <row r="6" spans="1:10" ht="20.45" customHeight="1" x14ac:dyDescent="0.2">
      <c r="A6" s="712" t="s">
        <v>416</v>
      </c>
      <c r="B6" s="713"/>
      <c r="C6" s="713"/>
      <c r="D6" s="713"/>
      <c r="E6" s="713"/>
      <c r="F6" s="713"/>
      <c r="G6" s="713"/>
      <c r="H6" s="714"/>
    </row>
    <row r="7" spans="1:10" ht="34.5" customHeight="1" x14ac:dyDescent="0.2">
      <c r="A7" s="52" t="s">
        <v>81</v>
      </c>
      <c r="B7" s="52" t="s">
        <v>82</v>
      </c>
      <c r="C7" s="52" t="s">
        <v>417</v>
      </c>
      <c r="D7" s="423" t="s">
        <v>418</v>
      </c>
      <c r="E7" s="423" t="s">
        <v>419</v>
      </c>
      <c r="F7" s="423" t="s">
        <v>420</v>
      </c>
      <c r="G7" s="424" t="s">
        <v>421</v>
      </c>
      <c r="H7" s="52" t="s">
        <v>422</v>
      </c>
    </row>
    <row r="8" spans="1:10" ht="15.95" customHeight="1" x14ac:dyDescent="0.2">
      <c r="A8" s="65">
        <v>1</v>
      </c>
      <c r="B8" s="66" t="s">
        <v>94</v>
      </c>
      <c r="C8" s="425">
        <v>117</v>
      </c>
      <c r="D8" s="426">
        <v>0</v>
      </c>
      <c r="E8" s="426">
        <v>26.5</v>
      </c>
      <c r="F8" s="426">
        <v>26.5</v>
      </c>
      <c r="G8" s="427">
        <f>D8+E8+F8</f>
        <v>53</v>
      </c>
      <c r="H8" s="428">
        <v>0.5</v>
      </c>
    </row>
    <row r="9" spans="1:10" ht="15.95" customHeight="1" x14ac:dyDescent="0.2">
      <c r="A9" s="65">
        <v>2</v>
      </c>
      <c r="B9" s="66" t="s">
        <v>97</v>
      </c>
      <c r="C9" s="425">
        <v>117</v>
      </c>
      <c r="D9" s="426">
        <v>0</v>
      </c>
      <c r="E9" s="426">
        <v>26.5</v>
      </c>
      <c r="F9" s="426">
        <v>26.5</v>
      </c>
      <c r="G9" s="427">
        <f>D9+E9+F9</f>
        <v>53</v>
      </c>
      <c r="H9" s="428">
        <v>0.5</v>
      </c>
    </row>
    <row r="10" spans="1:10" ht="15.95" customHeight="1" x14ac:dyDescent="0.2">
      <c r="A10" s="65">
        <v>3</v>
      </c>
      <c r="B10" s="66" t="s">
        <v>96</v>
      </c>
      <c r="C10" s="425">
        <v>117</v>
      </c>
      <c r="D10" s="426">
        <v>0</v>
      </c>
      <c r="E10" s="426">
        <v>26.5</v>
      </c>
      <c r="F10" s="426">
        <v>26.5</v>
      </c>
      <c r="G10" s="427">
        <f>D10+E10+F10</f>
        <v>53</v>
      </c>
      <c r="H10" s="428">
        <v>0.5</v>
      </c>
    </row>
    <row r="11" spans="1:10" ht="15.95" customHeight="1" x14ac:dyDescent="0.2">
      <c r="A11" s="88"/>
      <c r="B11" s="89" t="s">
        <v>450</v>
      </c>
      <c r="C11" s="413">
        <f>AVERAGE(C8:C10)</f>
        <v>117</v>
      </c>
      <c r="D11" s="413">
        <f t="shared" ref="D11:G11" si="0">AVERAGE(D8:D10)</f>
        <v>0</v>
      </c>
      <c r="E11" s="413">
        <f t="shared" si="0"/>
        <v>26.5</v>
      </c>
      <c r="F11" s="413">
        <f t="shared" si="0"/>
        <v>26.5</v>
      </c>
      <c r="G11" s="413">
        <f t="shared" si="0"/>
        <v>53</v>
      </c>
      <c r="H11" s="413"/>
    </row>
    <row r="12" spans="1:10" ht="15.95" customHeight="1" x14ac:dyDescent="0.2">
      <c r="A12" s="65">
        <v>4</v>
      </c>
      <c r="B12" s="66" t="s">
        <v>95</v>
      </c>
      <c r="C12" s="425">
        <v>117</v>
      </c>
      <c r="D12" s="426">
        <v>0</v>
      </c>
      <c r="E12" s="426">
        <v>26.5</v>
      </c>
      <c r="F12" s="426">
        <v>26.5</v>
      </c>
      <c r="G12" s="427">
        <f>D12+E12+F12</f>
        <v>53</v>
      </c>
      <c r="H12" s="428">
        <v>0.5</v>
      </c>
    </row>
    <row r="13" spans="1:10" ht="15.95" customHeight="1" x14ac:dyDescent="0.2">
      <c r="A13" s="65">
        <v>5</v>
      </c>
      <c r="B13" s="66" t="s">
        <v>98</v>
      </c>
      <c r="C13" s="425">
        <v>117</v>
      </c>
      <c r="D13" s="426">
        <v>0</v>
      </c>
      <c r="E13" s="426">
        <v>26.5</v>
      </c>
      <c r="F13" s="426">
        <v>26.5</v>
      </c>
      <c r="G13" s="427">
        <f>D13+E13+F13</f>
        <v>53</v>
      </c>
      <c r="H13" s="428">
        <v>0.5</v>
      </c>
    </row>
    <row r="14" spans="1:10" ht="14.65" customHeight="1" x14ac:dyDescent="0.2">
      <c r="A14" s="88"/>
      <c r="B14" s="89" t="s">
        <v>451</v>
      </c>
      <c r="C14" s="413">
        <f>AVERAGE(C12:C13)</f>
        <v>117</v>
      </c>
      <c r="D14" s="413">
        <f>AVERAGE(D12:D13)</f>
        <v>0</v>
      </c>
      <c r="E14" s="413">
        <f>AVERAGE(E12:E13)</f>
        <v>26.5</v>
      </c>
      <c r="F14" s="413">
        <f>AVERAGE(F12:F13)</f>
        <v>26.5</v>
      </c>
      <c r="G14" s="413">
        <f>AVERAGE(G12:G13)</f>
        <v>53</v>
      </c>
      <c r="H14" s="413"/>
    </row>
    <row r="15" spans="1:10" ht="14.65" customHeight="1" x14ac:dyDescent="0.2">
      <c r="A15" s="467">
        <v>6</v>
      </c>
      <c r="B15" s="195" t="s">
        <v>99</v>
      </c>
      <c r="C15" s="457">
        <v>97.66</v>
      </c>
      <c r="D15" s="458">
        <v>17.2</v>
      </c>
      <c r="E15" s="458">
        <v>20.6</v>
      </c>
      <c r="F15" s="458">
        <v>20.6</v>
      </c>
      <c r="G15" s="427">
        <f>D15+E15+F15</f>
        <v>58.4</v>
      </c>
      <c r="H15" s="428">
        <v>0.5</v>
      </c>
      <c r="J15" s="454"/>
    </row>
    <row r="16" spans="1:10" ht="15.95" customHeight="1" x14ac:dyDescent="0.2">
      <c r="A16" s="467">
        <v>7</v>
      </c>
      <c r="B16" s="195" t="s">
        <v>100</v>
      </c>
      <c r="C16" s="457">
        <v>97.66</v>
      </c>
      <c r="D16" s="458">
        <v>17.2</v>
      </c>
      <c r="E16" s="458">
        <v>20.6</v>
      </c>
      <c r="F16" s="458">
        <v>20.6</v>
      </c>
      <c r="G16" s="427">
        <f t="shared" ref="G16:G20" si="1">D16+E16+F16</f>
        <v>58.4</v>
      </c>
      <c r="H16" s="428">
        <v>0.5</v>
      </c>
    </row>
    <row r="17" spans="1:9" ht="15.95" customHeight="1" x14ac:dyDescent="0.2">
      <c r="A17" s="467">
        <v>8</v>
      </c>
      <c r="B17" s="195" t="s">
        <v>101</v>
      </c>
      <c r="C17" s="457">
        <v>97.66</v>
      </c>
      <c r="D17" s="458">
        <v>17.2</v>
      </c>
      <c r="E17" s="458">
        <v>20.6</v>
      </c>
      <c r="F17" s="458">
        <v>20.6</v>
      </c>
      <c r="G17" s="427">
        <f t="shared" si="1"/>
        <v>58.4</v>
      </c>
      <c r="H17" s="428">
        <v>0.5</v>
      </c>
    </row>
    <row r="18" spans="1:9" ht="15.95" customHeight="1" x14ac:dyDescent="0.2">
      <c r="A18" s="468"/>
      <c r="B18" s="89" t="s">
        <v>444</v>
      </c>
      <c r="C18" s="413">
        <f>AVERAGE(C15:C17)</f>
        <v>97.660000000000011</v>
      </c>
      <c r="D18" s="413">
        <f t="shared" ref="D18:G18" si="2">AVERAGE(D15:D17)</f>
        <v>17.2</v>
      </c>
      <c r="E18" s="413">
        <f t="shared" si="2"/>
        <v>20.6</v>
      </c>
      <c r="F18" s="413">
        <f t="shared" si="2"/>
        <v>20.6</v>
      </c>
      <c r="G18" s="413">
        <f t="shared" si="2"/>
        <v>58.4</v>
      </c>
      <c r="H18" s="413"/>
    </row>
    <row r="19" spans="1:9" ht="15.95" customHeight="1" x14ac:dyDescent="0.2">
      <c r="A19" s="467">
        <v>9</v>
      </c>
      <c r="B19" s="195" t="s">
        <v>102</v>
      </c>
      <c r="C19" s="457">
        <v>97.66</v>
      </c>
      <c r="D19" s="458">
        <v>17.2</v>
      </c>
      <c r="E19" s="458">
        <v>20.6</v>
      </c>
      <c r="F19" s="458">
        <v>20.6</v>
      </c>
      <c r="G19" s="427">
        <f t="shared" si="1"/>
        <v>58.4</v>
      </c>
      <c r="H19" s="428">
        <v>0.5</v>
      </c>
    </row>
    <row r="20" spans="1:9" ht="15.95" customHeight="1" x14ac:dyDescent="0.2">
      <c r="A20" s="467">
        <v>10</v>
      </c>
      <c r="B20" s="195" t="s">
        <v>103</v>
      </c>
      <c r="C20" s="457">
        <v>97.66</v>
      </c>
      <c r="D20" s="458">
        <v>17.2</v>
      </c>
      <c r="E20" s="458">
        <v>20.6</v>
      </c>
      <c r="F20" s="458">
        <v>20.6</v>
      </c>
      <c r="G20" s="427">
        <f t="shared" si="1"/>
        <v>58.4</v>
      </c>
      <c r="H20" s="428">
        <v>0.5</v>
      </c>
    </row>
    <row r="21" spans="1:9" ht="15.95" customHeight="1" x14ac:dyDescent="0.2">
      <c r="A21" s="467">
        <v>11</v>
      </c>
      <c r="B21" s="195" t="s">
        <v>104</v>
      </c>
      <c r="C21" s="425">
        <v>149</v>
      </c>
      <c r="D21" s="426">
        <v>17.850000000000001</v>
      </c>
      <c r="E21" s="426">
        <v>29.05</v>
      </c>
      <c r="F21" s="426">
        <v>29.05</v>
      </c>
      <c r="G21" s="427">
        <f>D21+E21+F21-('RS -STM'!B41*0.8)</f>
        <v>53.805999999999997</v>
      </c>
      <c r="H21" s="428">
        <v>0.5</v>
      </c>
    </row>
    <row r="22" spans="1:9" ht="15.95" customHeight="1" x14ac:dyDescent="0.2">
      <c r="A22" s="467">
        <v>12</v>
      </c>
      <c r="B22" s="195" t="s">
        <v>105</v>
      </c>
      <c r="C22" s="457">
        <v>97.66</v>
      </c>
      <c r="D22" s="458">
        <v>17.2</v>
      </c>
      <c r="E22" s="458">
        <v>20.6</v>
      </c>
      <c r="F22" s="458">
        <v>20.6</v>
      </c>
      <c r="G22" s="427">
        <f>D22+E22+F22</f>
        <v>58.4</v>
      </c>
      <c r="H22" s="428">
        <v>0.5</v>
      </c>
    </row>
    <row r="23" spans="1:9" ht="14.65" customHeight="1" x14ac:dyDescent="0.2">
      <c r="A23" s="191"/>
      <c r="B23" s="89" t="s">
        <v>445</v>
      </c>
      <c r="C23" s="413">
        <f>AVERAGE(C15:C20,C22)</f>
        <v>97.66</v>
      </c>
      <c r="D23" s="413">
        <f t="shared" ref="D23:G23" si="3">AVERAGE(D15:D20,D22)</f>
        <v>17.2</v>
      </c>
      <c r="E23" s="413">
        <f t="shared" si="3"/>
        <v>20.599999999999998</v>
      </c>
      <c r="F23" s="413">
        <f t="shared" si="3"/>
        <v>20.599999999999998</v>
      </c>
      <c r="G23" s="413">
        <f t="shared" si="3"/>
        <v>58.399999999999991</v>
      </c>
      <c r="H23" s="413"/>
    </row>
    <row r="24" spans="1:9" ht="14.65" customHeight="1" x14ac:dyDescent="0.2">
      <c r="A24" s="88"/>
      <c r="B24" s="89" t="s">
        <v>433</v>
      </c>
      <c r="C24" s="413">
        <f>C21</f>
        <v>149</v>
      </c>
      <c r="D24" s="413">
        <f>D21</f>
        <v>17.850000000000001</v>
      </c>
      <c r="E24" s="413">
        <f>E21</f>
        <v>29.05</v>
      </c>
      <c r="F24" s="413">
        <f>F21</f>
        <v>29.05</v>
      </c>
      <c r="G24" s="413">
        <f>TRUNC((G21),2)</f>
        <v>53.8</v>
      </c>
      <c r="H24" s="413"/>
    </row>
    <row r="26" spans="1:9" ht="24.4" customHeight="1" x14ac:dyDescent="0.2">
      <c r="A26" s="715" t="s">
        <v>423</v>
      </c>
      <c r="B26" s="716"/>
      <c r="C26" s="716"/>
      <c r="D26" s="716"/>
      <c r="E26" s="716"/>
      <c r="F26" s="716"/>
      <c r="G26" s="716"/>
      <c r="H26" s="716"/>
      <c r="I26" s="716"/>
    </row>
    <row r="27" spans="1:9" ht="14.65" customHeight="1" x14ac:dyDescent="0.2">
      <c r="B27" s="463"/>
      <c r="C27" s="463"/>
      <c r="D27" s="463"/>
      <c r="E27" s="463"/>
      <c r="F27" s="463"/>
      <c r="G27" s="463"/>
    </row>
    <row r="28" spans="1:9" ht="14.65" customHeight="1" x14ac:dyDescent="0.2">
      <c r="A28" s="717" t="s">
        <v>424</v>
      </c>
      <c r="B28" s="718"/>
      <c r="C28" s="718"/>
      <c r="D28" s="718"/>
      <c r="E28" s="718"/>
      <c r="F28" s="718"/>
      <c r="G28" s="718"/>
      <c r="H28" s="718"/>
      <c r="I28" s="718"/>
    </row>
    <row r="29" spans="1:9" ht="14.65" customHeight="1" x14ac:dyDescent="0.2">
      <c r="A29" s="430"/>
      <c r="B29" s="431"/>
      <c r="C29" s="432"/>
      <c r="D29" s="683" t="s">
        <v>78</v>
      </c>
      <c r="E29" s="719"/>
      <c r="F29" s="684"/>
      <c r="G29" s="720" t="s">
        <v>79</v>
      </c>
      <c r="H29" s="721"/>
      <c r="I29" s="721"/>
    </row>
    <row r="30" spans="1:9" ht="14.65" customHeight="1" x14ac:dyDescent="0.2">
      <c r="A30" s="433"/>
      <c r="B30" s="434"/>
      <c r="C30" s="435"/>
      <c r="D30" s="318" t="s">
        <v>263</v>
      </c>
      <c r="E30" s="318" t="s">
        <v>264</v>
      </c>
      <c r="F30" s="372" t="s">
        <v>432</v>
      </c>
      <c r="G30" s="318" t="s">
        <v>263</v>
      </c>
      <c r="H30" s="318" t="s">
        <v>264</v>
      </c>
      <c r="I30" s="372" t="s">
        <v>432</v>
      </c>
    </row>
    <row r="31" spans="1:9" ht="14.65" customHeight="1" x14ac:dyDescent="0.2">
      <c r="A31" s="706" t="s">
        <v>265</v>
      </c>
      <c r="B31" s="707"/>
      <c r="C31" s="708"/>
      <c r="D31" s="320" t="s">
        <v>266</v>
      </c>
      <c r="E31" s="320" t="s">
        <v>266</v>
      </c>
      <c r="F31" s="320" t="s">
        <v>266</v>
      </c>
      <c r="G31" s="320" t="s">
        <v>266</v>
      </c>
      <c r="H31" s="320" t="s">
        <v>266</v>
      </c>
      <c r="I31" s="320" t="s">
        <v>266</v>
      </c>
    </row>
    <row r="32" spans="1:9" ht="14.65" customHeight="1" x14ac:dyDescent="0.2">
      <c r="A32" s="709" t="s">
        <v>425</v>
      </c>
      <c r="B32" s="710"/>
      <c r="C32" s="711"/>
      <c r="D32" s="343">
        <f>C14</f>
        <v>117</v>
      </c>
      <c r="E32" s="343">
        <f>C23</f>
        <v>97.66</v>
      </c>
      <c r="F32" s="343">
        <f>C24</f>
        <v>149</v>
      </c>
      <c r="G32" s="343">
        <f>G14</f>
        <v>53</v>
      </c>
      <c r="H32" s="343">
        <f>G15</f>
        <v>58.4</v>
      </c>
      <c r="I32" s="343">
        <f>G24</f>
        <v>53.8</v>
      </c>
    </row>
    <row r="33" spans="1:9" ht="14.65" customHeight="1" x14ac:dyDescent="0.2">
      <c r="A33" s="703" t="s">
        <v>274</v>
      </c>
      <c r="B33" s="704"/>
      <c r="C33" s="705"/>
      <c r="D33" s="354">
        <f>D32</f>
        <v>117</v>
      </c>
      <c r="E33" s="354">
        <f>E32</f>
        <v>97.66</v>
      </c>
      <c r="F33" s="354">
        <f>F32</f>
        <v>149</v>
      </c>
      <c r="G33" s="354">
        <f>G14</f>
        <v>53</v>
      </c>
      <c r="H33" s="354">
        <f>G23</f>
        <v>58.399999999999991</v>
      </c>
      <c r="I33" s="354">
        <f>I32</f>
        <v>53.8</v>
      </c>
    </row>
    <row r="34" spans="1:9" ht="14.65" customHeight="1" x14ac:dyDescent="0.2">
      <c r="B34" s="436"/>
      <c r="C34" s="437"/>
      <c r="D34" s="438"/>
      <c r="E34" s="438"/>
      <c r="F34" s="453"/>
    </row>
    <row r="35" spans="1:9" ht="14.65" customHeight="1" x14ac:dyDescent="0.2">
      <c r="A35" s="722" t="s">
        <v>275</v>
      </c>
      <c r="B35" s="723"/>
      <c r="C35" s="723"/>
      <c r="D35" s="723"/>
      <c r="E35" s="723"/>
      <c r="F35" s="723"/>
      <c r="G35" s="723"/>
      <c r="H35" s="723"/>
      <c r="I35" s="723"/>
    </row>
    <row r="36" spans="1:9" ht="14.65" customHeight="1" x14ac:dyDescent="0.2">
      <c r="A36" s="439" t="s">
        <v>276</v>
      </c>
      <c r="B36" s="440"/>
      <c r="C36" s="340" t="s">
        <v>167</v>
      </c>
      <c r="D36" s="320" t="s">
        <v>266</v>
      </c>
      <c r="E36" s="320" t="s">
        <v>266</v>
      </c>
      <c r="F36" s="320" t="s">
        <v>266</v>
      </c>
      <c r="G36" s="320" t="s">
        <v>266</v>
      </c>
      <c r="H36" s="320" t="s">
        <v>266</v>
      </c>
      <c r="I36" s="320" t="s">
        <v>266</v>
      </c>
    </row>
    <row r="37" spans="1:9" ht="14.65" customHeight="1" x14ac:dyDescent="0.2">
      <c r="A37" s="441" t="s">
        <v>226</v>
      </c>
      <c r="B37" s="442"/>
      <c r="C37" s="342">
        <v>0.05</v>
      </c>
      <c r="D37" s="343">
        <f t="shared" ref="D37:I37" si="4">ROUND($C$37*D33,2)</f>
        <v>5.85</v>
      </c>
      <c r="E37" s="343">
        <f t="shared" si="4"/>
        <v>4.88</v>
      </c>
      <c r="F37" s="343">
        <f t="shared" si="4"/>
        <v>7.45</v>
      </c>
      <c r="G37" s="343">
        <f t="shared" si="4"/>
        <v>2.65</v>
      </c>
      <c r="H37" s="343">
        <f t="shared" si="4"/>
        <v>2.92</v>
      </c>
      <c r="I37" s="343">
        <f t="shared" si="4"/>
        <v>2.69</v>
      </c>
    </row>
    <row r="38" spans="1:9" ht="14.65" customHeight="1" x14ac:dyDescent="0.2">
      <c r="A38" s="443" t="s">
        <v>277</v>
      </c>
      <c r="B38" s="444"/>
      <c r="C38" s="345">
        <v>0.1</v>
      </c>
      <c r="D38" s="346">
        <f t="shared" ref="D38:I38" si="5">ROUND($C$38*(D33+D37),2)</f>
        <v>12.29</v>
      </c>
      <c r="E38" s="346">
        <f t="shared" si="5"/>
        <v>10.25</v>
      </c>
      <c r="F38" s="346">
        <f t="shared" si="5"/>
        <v>15.65</v>
      </c>
      <c r="G38" s="346">
        <f t="shared" si="5"/>
        <v>5.57</v>
      </c>
      <c r="H38" s="346">
        <f t="shared" si="5"/>
        <v>6.13</v>
      </c>
      <c r="I38" s="346">
        <f t="shared" si="5"/>
        <v>5.65</v>
      </c>
    </row>
    <row r="39" spans="1:9" ht="14.65" customHeight="1" x14ac:dyDescent="0.2">
      <c r="A39" s="445" t="s">
        <v>278</v>
      </c>
      <c r="B39" s="446"/>
      <c r="C39" s="348">
        <f>C40+C41</f>
        <v>5.6499999999999995E-2</v>
      </c>
      <c r="D39" s="349">
        <f t="shared" ref="D39:I39" si="6">((D$33+D$37+D$38)/(1-($C39)))*$C39</f>
        <v>8.0926444091149961</v>
      </c>
      <c r="E39" s="349">
        <f t="shared" si="6"/>
        <v>6.7542501324854252</v>
      </c>
      <c r="F39" s="349">
        <f t="shared" si="6"/>
        <v>10.305935347111816</v>
      </c>
      <c r="G39" s="349">
        <f t="shared" si="6"/>
        <v>3.6660625331213565</v>
      </c>
      <c r="H39" s="349">
        <f t="shared" si="6"/>
        <v>4.0391361950185463</v>
      </c>
      <c r="I39" s="349">
        <f t="shared" si="6"/>
        <v>3.7211552729199782</v>
      </c>
    </row>
    <row r="40" spans="1:9" ht="14.65" customHeight="1" x14ac:dyDescent="0.2">
      <c r="A40" s="443" t="s">
        <v>279</v>
      </c>
      <c r="B40" s="444"/>
      <c r="C40" s="345">
        <v>3.6499999999999998E-2</v>
      </c>
      <c r="D40" s="346">
        <f t="shared" ref="D40:I40" si="7">ROUND(((D$33+D$37+D$38)/(1-$C39))*$C40,2)</f>
        <v>5.23</v>
      </c>
      <c r="E40" s="346">
        <f t="shared" si="7"/>
        <v>4.3600000000000003</v>
      </c>
      <c r="F40" s="346">
        <f t="shared" si="7"/>
        <v>6.66</v>
      </c>
      <c r="G40" s="346">
        <f t="shared" si="7"/>
        <v>2.37</v>
      </c>
      <c r="H40" s="346">
        <f t="shared" si="7"/>
        <v>2.61</v>
      </c>
      <c r="I40" s="346">
        <f t="shared" si="7"/>
        <v>2.4</v>
      </c>
    </row>
    <row r="41" spans="1:9" ht="14.65" customHeight="1" x14ac:dyDescent="0.2">
      <c r="A41" s="443" t="s">
        <v>280</v>
      </c>
      <c r="B41" s="444"/>
      <c r="C41" s="350">
        <v>0.02</v>
      </c>
      <c r="D41" s="346">
        <f t="shared" ref="D41:I41" si="8">ROUND(((D$33+D$37+D$38)/(1-$C$39))*$C41,2)</f>
        <v>2.86</v>
      </c>
      <c r="E41" s="346">
        <f t="shared" si="8"/>
        <v>2.39</v>
      </c>
      <c r="F41" s="346">
        <f t="shared" si="8"/>
        <v>3.65</v>
      </c>
      <c r="G41" s="346">
        <f t="shared" si="8"/>
        <v>1.3</v>
      </c>
      <c r="H41" s="346">
        <f t="shared" si="8"/>
        <v>1.43</v>
      </c>
      <c r="I41" s="346">
        <f t="shared" si="8"/>
        <v>1.32</v>
      </c>
    </row>
    <row r="42" spans="1:9" ht="14.65" customHeight="1" x14ac:dyDescent="0.2">
      <c r="A42" s="445" t="s">
        <v>281</v>
      </c>
      <c r="B42" s="446"/>
      <c r="C42" s="348">
        <f>C43+C44</f>
        <v>6.6500000000000004E-2</v>
      </c>
      <c r="D42" s="349">
        <f t="shared" ref="D42:I42" si="9">((D$33+D$37+D$38)/(1-($C42)))*$C42</f>
        <v>9.6270058918050339</v>
      </c>
      <c r="E42" s="349">
        <f t="shared" si="9"/>
        <v>8.0348527048741296</v>
      </c>
      <c r="F42" s="349">
        <f t="shared" si="9"/>
        <v>12.259935725763256</v>
      </c>
      <c r="G42" s="349">
        <f t="shared" si="9"/>
        <v>4.3611462238885919</v>
      </c>
      <c r="H42" s="349">
        <f t="shared" si="9"/>
        <v>4.8049544724156394</v>
      </c>
      <c r="I42" s="349">
        <f t="shared" si="9"/>
        <v>4.4266845206213175</v>
      </c>
    </row>
    <row r="43" spans="1:9" ht="14.65" customHeight="1" x14ac:dyDescent="0.2">
      <c r="A43" s="443" t="s">
        <v>279</v>
      </c>
      <c r="B43" s="444"/>
      <c r="C43" s="345">
        <v>3.6499999999999998E-2</v>
      </c>
      <c r="D43" s="346">
        <f t="shared" ref="D43:I43" si="10">ROUND(((D$33+D$37+D$38)/(1-$C42))*$C43,2)</f>
        <v>5.28</v>
      </c>
      <c r="E43" s="346">
        <f t="shared" si="10"/>
        <v>4.41</v>
      </c>
      <c r="F43" s="346">
        <f t="shared" si="10"/>
        <v>6.73</v>
      </c>
      <c r="G43" s="346">
        <f t="shared" si="10"/>
        <v>2.39</v>
      </c>
      <c r="H43" s="346">
        <f t="shared" si="10"/>
        <v>2.64</v>
      </c>
      <c r="I43" s="346">
        <f t="shared" si="10"/>
        <v>2.4300000000000002</v>
      </c>
    </row>
    <row r="44" spans="1:9" ht="14.65" customHeight="1" x14ac:dyDescent="0.2">
      <c r="A44" s="443" t="s">
        <v>280</v>
      </c>
      <c r="B44" s="444"/>
      <c r="C44" s="350">
        <v>0.03</v>
      </c>
      <c r="D44" s="346">
        <f t="shared" ref="D44:I44" si="11">ROUND(((D$33+D$37+D$38)/(1-$C$42))*$C44,2)</f>
        <v>4.34</v>
      </c>
      <c r="E44" s="346">
        <f t="shared" si="11"/>
        <v>3.62</v>
      </c>
      <c r="F44" s="346">
        <f t="shared" si="11"/>
        <v>5.53</v>
      </c>
      <c r="G44" s="346">
        <f t="shared" si="11"/>
        <v>1.97</v>
      </c>
      <c r="H44" s="346">
        <f t="shared" si="11"/>
        <v>2.17</v>
      </c>
      <c r="I44" s="346">
        <f t="shared" si="11"/>
        <v>2</v>
      </c>
    </row>
    <row r="45" spans="1:9" ht="14.65" customHeight="1" x14ac:dyDescent="0.2">
      <c r="A45" s="445" t="s">
        <v>282</v>
      </c>
      <c r="B45" s="446"/>
      <c r="C45" s="348">
        <f>C46+C47</f>
        <v>7.1500000000000008E-2</v>
      </c>
      <c r="D45" s="349">
        <f t="shared" ref="D45:I45" si="12">((D$33+D$37+D$38)/(1-($C45)))*$C45</f>
        <v>10.406580506192785</v>
      </c>
      <c r="E45" s="349">
        <f t="shared" si="12"/>
        <v>8.6854981152396338</v>
      </c>
      <c r="F45" s="349">
        <f t="shared" si="12"/>
        <v>13.252719439956921</v>
      </c>
      <c r="G45" s="349">
        <f t="shared" si="12"/>
        <v>4.7143026386645124</v>
      </c>
      <c r="H45" s="349">
        <f t="shared" si="12"/>
        <v>5.1940495422724817</v>
      </c>
      <c r="I45" s="349">
        <f t="shared" si="12"/>
        <v>4.785148088314485</v>
      </c>
    </row>
    <row r="46" spans="1:9" ht="14.65" customHeight="1" x14ac:dyDescent="0.2">
      <c r="A46" s="443" t="s">
        <v>279</v>
      </c>
      <c r="B46" s="444"/>
      <c r="C46" s="345">
        <v>3.6499999999999998E-2</v>
      </c>
      <c r="D46" s="346">
        <f t="shared" ref="D46:I46" si="13">ROUND(((D$33+D$37+D$38)/(1-$C45))*$C46,2)</f>
        <v>5.31</v>
      </c>
      <c r="E46" s="346">
        <f t="shared" si="13"/>
        <v>4.43</v>
      </c>
      <c r="F46" s="346">
        <f t="shared" si="13"/>
        <v>6.77</v>
      </c>
      <c r="G46" s="346">
        <f t="shared" si="13"/>
        <v>2.41</v>
      </c>
      <c r="H46" s="346">
        <f t="shared" si="13"/>
        <v>2.65</v>
      </c>
      <c r="I46" s="346">
        <f t="shared" si="13"/>
        <v>2.44</v>
      </c>
    </row>
    <row r="47" spans="1:9" ht="14.65" customHeight="1" x14ac:dyDescent="0.2">
      <c r="A47" s="443" t="s">
        <v>280</v>
      </c>
      <c r="B47" s="444"/>
      <c r="C47" s="350">
        <v>3.5000000000000003E-2</v>
      </c>
      <c r="D47" s="346">
        <f t="shared" ref="D47:I47" si="14">ROUND(((D$33+D$37+D$38)/(1-$C45))*$C47,2)</f>
        <v>5.09</v>
      </c>
      <c r="E47" s="346">
        <f t="shared" si="14"/>
        <v>4.25</v>
      </c>
      <c r="F47" s="346">
        <f t="shared" si="14"/>
        <v>6.49</v>
      </c>
      <c r="G47" s="346">
        <f t="shared" si="14"/>
        <v>2.31</v>
      </c>
      <c r="H47" s="346">
        <f t="shared" si="14"/>
        <v>2.54</v>
      </c>
      <c r="I47" s="346">
        <f t="shared" si="14"/>
        <v>2.34</v>
      </c>
    </row>
    <row r="48" spans="1:9" ht="14.65" customHeight="1" x14ac:dyDescent="0.2">
      <c r="A48" s="445" t="s">
        <v>283</v>
      </c>
      <c r="B48" s="446"/>
      <c r="C48" s="348">
        <f>C49+C50</f>
        <v>7.6499999999999999E-2</v>
      </c>
      <c r="D48" s="349">
        <f t="shared" ref="D48:I48" si="15">((D$33+D$37+D$38)/(1-($C48)))*$C48</f>
        <v>11.194596643205196</v>
      </c>
      <c r="E48" s="349">
        <f t="shared" si="15"/>
        <v>9.3431889550622618</v>
      </c>
      <c r="F48" s="349">
        <f t="shared" si="15"/>
        <v>14.256253383865728</v>
      </c>
      <c r="G48" s="349">
        <f t="shared" si="15"/>
        <v>5.0712831618841365</v>
      </c>
      <c r="H48" s="349">
        <f t="shared" si="15"/>
        <v>5.5873578776394144</v>
      </c>
      <c r="I48" s="349">
        <f t="shared" si="15"/>
        <v>5.1474932322685429</v>
      </c>
    </row>
    <row r="49" spans="1:9" ht="14.65" customHeight="1" x14ac:dyDescent="0.2">
      <c r="A49" s="443" t="s">
        <v>279</v>
      </c>
      <c r="B49" s="444"/>
      <c r="C49" s="345">
        <v>3.6499999999999998E-2</v>
      </c>
      <c r="D49" s="346">
        <f t="shared" ref="D49:I49" si="16">ROUND(((D$33+D$37+D$38)/(1-$C48))*$C49,2)</f>
        <v>5.34</v>
      </c>
      <c r="E49" s="346">
        <f t="shared" si="16"/>
        <v>4.46</v>
      </c>
      <c r="F49" s="346">
        <f t="shared" si="16"/>
        <v>6.8</v>
      </c>
      <c r="G49" s="346">
        <f t="shared" si="16"/>
        <v>2.42</v>
      </c>
      <c r="H49" s="346">
        <f t="shared" si="16"/>
        <v>2.67</v>
      </c>
      <c r="I49" s="346">
        <f t="shared" si="16"/>
        <v>2.46</v>
      </c>
    </row>
    <row r="50" spans="1:9" ht="14.65" customHeight="1" x14ac:dyDescent="0.2">
      <c r="A50" s="443" t="s">
        <v>280</v>
      </c>
      <c r="B50" s="444"/>
      <c r="C50" s="350">
        <v>0.04</v>
      </c>
      <c r="D50" s="346">
        <f t="shared" ref="D50:I50" si="17">ROUND(((D$33+D$37+D$38)/(1-$C48))*$C50,2)</f>
        <v>5.85</v>
      </c>
      <c r="E50" s="346">
        <f t="shared" si="17"/>
        <v>4.8899999999999997</v>
      </c>
      <c r="F50" s="346">
        <f t="shared" si="17"/>
        <v>7.45</v>
      </c>
      <c r="G50" s="346">
        <f t="shared" si="17"/>
        <v>2.65</v>
      </c>
      <c r="H50" s="346">
        <f t="shared" si="17"/>
        <v>2.92</v>
      </c>
      <c r="I50" s="346">
        <f t="shared" si="17"/>
        <v>2.69</v>
      </c>
    </row>
    <row r="51" spans="1:9" ht="14.65" customHeight="1" x14ac:dyDescent="0.2">
      <c r="A51" s="445" t="s">
        <v>284</v>
      </c>
      <c r="B51" s="446"/>
      <c r="C51" s="348">
        <f>C52+C53</f>
        <v>8.6499999999999994E-2</v>
      </c>
      <c r="D51" s="349">
        <f t="shared" ref="D51:I51" si="18">((D$33+D$37+D$38)/(1-($C51)))*$C51</f>
        <v>12.796507936507934</v>
      </c>
      <c r="E51" s="349">
        <f t="shared" si="18"/>
        <v>10.680169677066228</v>
      </c>
      <c r="F51" s="349">
        <f t="shared" si="18"/>
        <v>16.296278051450464</v>
      </c>
      <c r="G51" s="349">
        <f t="shared" si="18"/>
        <v>5.7969677066228789</v>
      </c>
      <c r="H51" s="349">
        <f t="shared" si="18"/>
        <v>6.3868910782703878</v>
      </c>
      <c r="I51" s="349">
        <f t="shared" si="18"/>
        <v>5.8840831964969889</v>
      </c>
    </row>
    <row r="52" spans="1:9" ht="14.65" customHeight="1" x14ac:dyDescent="0.2">
      <c r="A52" s="443" t="s">
        <v>279</v>
      </c>
      <c r="B52" s="444"/>
      <c r="C52" s="345">
        <v>3.6499999999999998E-2</v>
      </c>
      <c r="D52" s="346">
        <f t="shared" ref="D52:I52" si="19">ROUND(((D$33+D$37+D$38)/(1-$C51))*$C52,2)</f>
        <v>5.4</v>
      </c>
      <c r="E52" s="346">
        <f t="shared" si="19"/>
        <v>4.51</v>
      </c>
      <c r="F52" s="346">
        <f t="shared" si="19"/>
        <v>6.88</v>
      </c>
      <c r="G52" s="346">
        <f t="shared" si="19"/>
        <v>2.4500000000000002</v>
      </c>
      <c r="H52" s="346">
        <f t="shared" si="19"/>
        <v>2.7</v>
      </c>
      <c r="I52" s="346">
        <f t="shared" si="19"/>
        <v>2.48</v>
      </c>
    </row>
    <row r="53" spans="1:9" ht="14.65" customHeight="1" x14ac:dyDescent="0.2">
      <c r="A53" s="447" t="s">
        <v>280</v>
      </c>
      <c r="B53" s="448"/>
      <c r="C53" s="352">
        <v>0.05</v>
      </c>
      <c r="D53" s="346">
        <f t="shared" ref="D53:I53" si="20">ROUND(((D$33+D$37+D$38)/(1-$C51))*$C53,2)</f>
        <v>7.4</v>
      </c>
      <c r="E53" s="346">
        <f t="shared" si="20"/>
        <v>6.17</v>
      </c>
      <c r="F53" s="346">
        <f t="shared" si="20"/>
        <v>9.42</v>
      </c>
      <c r="G53" s="346">
        <f t="shared" si="20"/>
        <v>3.35</v>
      </c>
      <c r="H53" s="346">
        <f t="shared" si="20"/>
        <v>3.69</v>
      </c>
      <c r="I53" s="346">
        <f t="shared" si="20"/>
        <v>3.4</v>
      </c>
    </row>
    <row r="54" spans="1:9" ht="14.65" customHeight="1" x14ac:dyDescent="0.2">
      <c r="A54" s="702" t="s">
        <v>285</v>
      </c>
      <c r="B54" s="702"/>
      <c r="C54" s="353">
        <v>0.02</v>
      </c>
      <c r="D54" s="354">
        <f t="shared" ref="D54:H54" si="21">D$37+D$38+D39</f>
        <v>26.232644409114997</v>
      </c>
      <c r="E54" s="354">
        <f t="shared" si="21"/>
        <v>21.884250132485423</v>
      </c>
      <c r="F54" s="354">
        <f t="shared" si="21"/>
        <v>33.405935347111821</v>
      </c>
      <c r="G54" s="354">
        <f t="shared" si="21"/>
        <v>11.886062533121358</v>
      </c>
      <c r="H54" s="354">
        <f t="shared" si="21"/>
        <v>13.089136195018547</v>
      </c>
      <c r="I54" s="354">
        <f t="shared" ref="I54" si="22">I$37+I$38+I39</f>
        <v>12.061155272919978</v>
      </c>
    </row>
    <row r="55" spans="1:9" ht="14.65" customHeight="1" x14ac:dyDescent="0.2">
      <c r="A55" s="702"/>
      <c r="B55" s="702"/>
      <c r="C55" s="353">
        <v>0.03</v>
      </c>
      <c r="D55" s="354">
        <f t="shared" ref="D55:H55" si="23">D$37+D$38+D42</f>
        <v>27.767005891805034</v>
      </c>
      <c r="E55" s="354">
        <f t="shared" si="23"/>
        <v>23.164852704874129</v>
      </c>
      <c r="F55" s="354">
        <f t="shared" si="23"/>
        <v>35.359935725763258</v>
      </c>
      <c r="G55" s="354">
        <f t="shared" si="23"/>
        <v>12.581146223888592</v>
      </c>
      <c r="H55" s="354">
        <f t="shared" si="23"/>
        <v>13.85495447241564</v>
      </c>
      <c r="I55" s="354">
        <f t="shared" ref="I55" si="24">I$37+I$38+I42</f>
        <v>12.766684520621318</v>
      </c>
    </row>
    <row r="56" spans="1:9" ht="14.65" customHeight="1" x14ac:dyDescent="0.2">
      <c r="A56" s="702"/>
      <c r="B56" s="702"/>
      <c r="C56" s="353">
        <v>3.5000000000000003E-2</v>
      </c>
      <c r="D56" s="354">
        <f t="shared" ref="D56:H56" si="25">D$37+D$38+D45</f>
        <v>28.546580506192786</v>
      </c>
      <c r="E56" s="354">
        <f t="shared" si="25"/>
        <v>23.815498115239635</v>
      </c>
      <c r="F56" s="354">
        <f t="shared" si="25"/>
        <v>36.352719439956921</v>
      </c>
      <c r="G56" s="354">
        <f t="shared" si="25"/>
        <v>12.934302638664512</v>
      </c>
      <c r="H56" s="354">
        <f t="shared" si="25"/>
        <v>14.244049542272482</v>
      </c>
      <c r="I56" s="354">
        <f t="shared" ref="I56" si="26">I$37+I$38+I45</f>
        <v>13.125148088314486</v>
      </c>
    </row>
    <row r="57" spans="1:9" ht="14.65" customHeight="1" x14ac:dyDescent="0.2">
      <c r="A57" s="702"/>
      <c r="B57" s="702"/>
      <c r="C57" s="353">
        <v>0.04</v>
      </c>
      <c r="D57" s="354">
        <f t="shared" ref="D57:H57" si="27">D$37+D$38+D48</f>
        <v>29.334596643205195</v>
      </c>
      <c r="E57" s="354">
        <f t="shared" si="27"/>
        <v>24.473188955062263</v>
      </c>
      <c r="F57" s="354">
        <f t="shared" si="27"/>
        <v>37.356253383865727</v>
      </c>
      <c r="G57" s="354">
        <f t="shared" si="27"/>
        <v>13.291283161884138</v>
      </c>
      <c r="H57" s="354">
        <f t="shared" si="27"/>
        <v>14.637357877639415</v>
      </c>
      <c r="I57" s="354">
        <f t="shared" ref="I57" si="28">I$37+I$38+I48</f>
        <v>13.487493232268543</v>
      </c>
    </row>
    <row r="58" spans="1:9" ht="14.65" customHeight="1" x14ac:dyDescent="0.2">
      <c r="A58" s="702"/>
      <c r="B58" s="702"/>
      <c r="C58" s="355">
        <v>0.05</v>
      </c>
      <c r="D58" s="354">
        <f t="shared" ref="D58:H58" si="29">D$37+D$38+D51</f>
        <v>30.936507936507937</v>
      </c>
      <c r="E58" s="354">
        <f>E$37+E$38+E51</f>
        <v>25.810169677066227</v>
      </c>
      <c r="F58" s="354">
        <f>F$37+F$38+F51</f>
        <v>39.396278051450466</v>
      </c>
      <c r="G58" s="354">
        <f t="shared" si="29"/>
        <v>14.016967706622879</v>
      </c>
      <c r="H58" s="354">
        <f t="shared" si="29"/>
        <v>15.436891078270389</v>
      </c>
      <c r="I58" s="354">
        <f t="shared" ref="I58" si="30">I$37+I$38+I51</f>
        <v>14.224083196496988</v>
      </c>
    </row>
    <row r="59" spans="1:9" ht="14.65" customHeight="1" x14ac:dyDescent="0.2">
      <c r="B59" s="356"/>
      <c r="C59" s="357"/>
      <c r="D59" s="358"/>
      <c r="E59" s="358"/>
      <c r="F59" s="358"/>
    </row>
    <row r="60" spans="1:9" ht="14.65" customHeight="1" x14ac:dyDescent="0.2">
      <c r="A60" s="726" t="s">
        <v>426</v>
      </c>
      <c r="B60" s="727"/>
      <c r="C60" s="727"/>
      <c r="D60" s="727"/>
      <c r="E60" s="727"/>
      <c r="F60" s="727"/>
      <c r="G60" s="727"/>
      <c r="H60" s="727"/>
      <c r="I60" s="727"/>
    </row>
    <row r="61" spans="1:9" ht="14.65" customHeight="1" x14ac:dyDescent="0.2">
      <c r="A61" s="728" t="s">
        <v>236</v>
      </c>
      <c r="B61" s="729"/>
      <c r="C61" s="729"/>
      <c r="D61" s="729"/>
      <c r="E61" s="729"/>
      <c r="F61" s="729"/>
      <c r="G61" s="729"/>
      <c r="H61" s="729"/>
      <c r="I61" s="729"/>
    </row>
    <row r="62" spans="1:9" ht="15.95" customHeight="1" x14ac:dyDescent="0.2">
      <c r="A62" s="449"/>
      <c r="B62" s="449"/>
      <c r="C62" s="449"/>
      <c r="D62" s="683" t="s">
        <v>78</v>
      </c>
      <c r="E62" s="719"/>
      <c r="F62" s="684"/>
      <c r="G62" s="720" t="s">
        <v>79</v>
      </c>
      <c r="H62" s="721"/>
      <c r="I62" s="721"/>
    </row>
    <row r="63" spans="1:9" ht="14.65" customHeight="1" x14ac:dyDescent="0.2">
      <c r="A63" s="450"/>
      <c r="B63" s="362"/>
      <c r="C63" s="362"/>
      <c r="D63" s="318" t="s">
        <v>263</v>
      </c>
      <c r="E63" s="318" t="s">
        <v>264</v>
      </c>
      <c r="F63" s="372" t="s">
        <v>432</v>
      </c>
      <c r="G63" s="318" t="s">
        <v>263</v>
      </c>
      <c r="H63" s="318" t="s">
        <v>264</v>
      </c>
      <c r="I63" s="372" t="s">
        <v>432</v>
      </c>
    </row>
    <row r="64" spans="1:9" ht="14.65" customHeight="1" x14ac:dyDescent="0.2">
      <c r="A64" s="675" t="s">
        <v>427</v>
      </c>
      <c r="B64" s="675"/>
      <c r="C64" s="364" t="s">
        <v>252</v>
      </c>
      <c r="D64" s="365">
        <f t="shared" ref="D64:I68" si="31">D$33+D54</f>
        <v>143.23264440911498</v>
      </c>
      <c r="E64" s="365">
        <f t="shared" si="31"/>
        <v>119.54425013248542</v>
      </c>
      <c r="F64" s="365">
        <f t="shared" si="31"/>
        <v>182.40593534711184</v>
      </c>
      <c r="G64" s="365">
        <f t="shared" si="31"/>
        <v>64.886062533121361</v>
      </c>
      <c r="H64" s="365">
        <f t="shared" si="31"/>
        <v>71.489136195018546</v>
      </c>
      <c r="I64" s="365">
        <f t="shared" si="31"/>
        <v>65.861155272919973</v>
      </c>
    </row>
    <row r="65" spans="1:9" ht="14.65" customHeight="1" x14ac:dyDescent="0.2">
      <c r="A65" s="675"/>
      <c r="B65" s="675"/>
      <c r="C65" s="364" t="s">
        <v>246</v>
      </c>
      <c r="D65" s="365">
        <f t="shared" si="31"/>
        <v>144.76700589180504</v>
      </c>
      <c r="E65" s="365">
        <f t="shared" si="31"/>
        <v>120.82485270487413</v>
      </c>
      <c r="F65" s="365">
        <f t="shared" si="31"/>
        <v>184.35993572576325</v>
      </c>
      <c r="G65" s="365">
        <f t="shared" si="31"/>
        <v>65.581146223888595</v>
      </c>
      <c r="H65" s="365">
        <f t="shared" si="31"/>
        <v>72.254954472415633</v>
      </c>
      <c r="I65" s="365">
        <f t="shared" si="31"/>
        <v>66.566684520621322</v>
      </c>
    </row>
    <row r="66" spans="1:9" ht="14.65" customHeight="1" x14ac:dyDescent="0.2">
      <c r="A66" s="675"/>
      <c r="B66" s="675"/>
      <c r="C66" s="364" t="s">
        <v>257</v>
      </c>
      <c r="D66" s="365">
        <f t="shared" si="31"/>
        <v>145.54658050619278</v>
      </c>
      <c r="E66" s="365">
        <f t="shared" si="31"/>
        <v>121.47549811523963</v>
      </c>
      <c r="F66" s="365">
        <f t="shared" si="31"/>
        <v>185.35271943995693</v>
      </c>
      <c r="G66" s="365">
        <f t="shared" si="31"/>
        <v>65.934302638664519</v>
      </c>
      <c r="H66" s="365">
        <f t="shared" si="31"/>
        <v>72.644049542272469</v>
      </c>
      <c r="I66" s="365">
        <f t="shared" si="31"/>
        <v>66.925148088314486</v>
      </c>
    </row>
    <row r="67" spans="1:9" ht="14.65" customHeight="1" x14ac:dyDescent="0.2">
      <c r="A67" s="675"/>
      <c r="B67" s="675"/>
      <c r="C67" s="364" t="s">
        <v>258</v>
      </c>
      <c r="D67" s="365">
        <f t="shared" si="31"/>
        <v>146.3345966432052</v>
      </c>
      <c r="E67" s="365">
        <f t="shared" si="31"/>
        <v>122.13318895506225</v>
      </c>
      <c r="F67" s="365">
        <f t="shared" si="31"/>
        <v>186.35625338386572</v>
      </c>
      <c r="G67" s="365">
        <f t="shared" si="31"/>
        <v>66.291283161884138</v>
      </c>
      <c r="H67" s="365">
        <f t="shared" si="31"/>
        <v>73.037357877639408</v>
      </c>
      <c r="I67" s="365">
        <f t="shared" si="31"/>
        <v>67.287493232268545</v>
      </c>
    </row>
    <row r="68" spans="1:9" ht="14.65" customHeight="1" x14ac:dyDescent="0.2">
      <c r="A68" s="675"/>
      <c r="B68" s="675"/>
      <c r="C68" s="364" t="s">
        <v>247</v>
      </c>
      <c r="D68" s="365">
        <f t="shared" si="31"/>
        <v>147.93650793650795</v>
      </c>
      <c r="E68" s="365">
        <f t="shared" si="31"/>
        <v>123.47016967706622</v>
      </c>
      <c r="F68" s="365">
        <f t="shared" si="31"/>
        <v>188.39627805145045</v>
      </c>
      <c r="G68" s="365">
        <f t="shared" si="31"/>
        <v>67.016967706622879</v>
      </c>
      <c r="H68" s="365">
        <f t="shared" si="31"/>
        <v>73.836891078270384</v>
      </c>
      <c r="I68" s="365">
        <f t="shared" si="31"/>
        <v>68.024083196496989</v>
      </c>
    </row>
    <row r="70" spans="1:9" ht="40.15" customHeight="1" x14ac:dyDescent="0.2">
      <c r="A70" s="724" t="s">
        <v>435</v>
      </c>
      <c r="B70" s="724"/>
      <c r="C70" s="724"/>
      <c r="D70" s="724"/>
      <c r="E70" s="724"/>
      <c r="F70" s="724"/>
      <c r="G70" s="724"/>
      <c r="H70" s="724"/>
      <c r="I70" s="724"/>
    </row>
    <row r="71" spans="1:9" ht="14.65" customHeight="1" x14ac:dyDescent="0.2">
      <c r="A71" s="475"/>
      <c r="B71" s="475"/>
      <c r="C71" s="475"/>
      <c r="D71" s="475"/>
      <c r="E71" s="475"/>
      <c r="F71" s="475"/>
      <c r="G71" s="475"/>
      <c r="H71" s="450"/>
      <c r="I71" s="450"/>
    </row>
    <row r="72" spans="1:9" ht="52.15" customHeight="1" x14ac:dyDescent="0.2">
      <c r="A72" s="725" t="s">
        <v>397</v>
      </c>
      <c r="B72" s="725"/>
      <c r="C72" s="725"/>
      <c r="D72" s="725"/>
      <c r="E72" s="725"/>
      <c r="F72" s="725"/>
      <c r="G72" s="725"/>
      <c r="H72" s="725"/>
      <c r="I72" s="725"/>
    </row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</sheetData>
  <mergeCells count="21">
    <mergeCell ref="A70:I70"/>
    <mergeCell ref="A72:I72"/>
    <mergeCell ref="D62:F62"/>
    <mergeCell ref="G62:I62"/>
    <mergeCell ref="A60:I60"/>
    <mergeCell ref="A61:I61"/>
    <mergeCell ref="A64:B68"/>
    <mergeCell ref="A54:B58"/>
    <mergeCell ref="A33:C33"/>
    <mergeCell ref="A31:C31"/>
    <mergeCell ref="A32:C32"/>
    <mergeCell ref="A1:H1"/>
    <mergeCell ref="A2:H2"/>
    <mergeCell ref="A3:H3"/>
    <mergeCell ref="A4:H4"/>
    <mergeCell ref="A6:H6"/>
    <mergeCell ref="A26:I26"/>
    <mergeCell ref="A28:I28"/>
    <mergeCell ref="D29:F29"/>
    <mergeCell ref="G29:I29"/>
    <mergeCell ref="A35:I35"/>
  </mergeCells>
  <pageMargins left="0.78740157480314954" right="0.78740157480314954" top="1.123228346456693" bottom="1.123228346456693" header="0.78740157480314954" footer="0.78740157480314954"/>
  <pageSetup paperSize="9" fitToWidth="0" fitToHeight="0" orientation="portrait" r:id="rId1"/>
  <headerFooter alignWithMargins="0">
    <oddHeader>&amp;C&amp;"Arial1,Regular"&amp;10&amp;A</oddHeader>
    <oddFooter>&amp;C&amp;"Arial1,Regular"&amp;10Página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workbookViewId="0">
      <selection activeCell="A2" sqref="A2:D2"/>
    </sheetView>
  </sheetViews>
  <sheetFormatPr defaultRowHeight="14.25" x14ac:dyDescent="0.2"/>
  <cols>
    <col min="1" max="1" width="18.5" customWidth="1"/>
    <col min="2" max="2" width="24.375" customWidth="1"/>
    <col min="3" max="3" width="8" customWidth="1"/>
    <col min="4" max="4" width="11.25" customWidth="1"/>
    <col min="5" max="64" width="8" customWidth="1"/>
  </cols>
  <sheetData>
    <row r="1" spans="1:4" ht="18.75" x14ac:dyDescent="0.2">
      <c r="A1" s="593" t="s">
        <v>475</v>
      </c>
      <c r="B1" s="593"/>
      <c r="C1" s="593"/>
      <c r="D1" s="593"/>
    </row>
    <row r="2" spans="1:4" x14ac:dyDescent="0.2">
      <c r="A2" s="594" t="s">
        <v>71</v>
      </c>
      <c r="B2" s="594"/>
      <c r="C2" s="594"/>
      <c r="D2" s="594"/>
    </row>
    <row r="3" spans="1:4" x14ac:dyDescent="0.2">
      <c r="A3" s="594" t="s">
        <v>259</v>
      </c>
      <c r="B3" s="594"/>
      <c r="C3" s="594"/>
      <c r="D3" s="594"/>
    </row>
    <row r="4" spans="1:4" ht="15.75" x14ac:dyDescent="0.2">
      <c r="A4" s="732" t="s">
        <v>385</v>
      </c>
      <c r="B4" s="732"/>
      <c r="C4" s="732"/>
      <c r="D4" s="732"/>
    </row>
    <row r="5" spans="1:4" x14ac:dyDescent="0.2">
      <c r="A5" s="403"/>
      <c r="B5" s="403"/>
      <c r="C5" s="403"/>
      <c r="D5" s="403"/>
    </row>
    <row r="6" spans="1:4" x14ac:dyDescent="0.2">
      <c r="A6" s="733" t="s">
        <v>454</v>
      </c>
      <c r="B6" s="733"/>
      <c r="C6" s="733"/>
      <c r="D6" s="733"/>
    </row>
    <row r="7" spans="1:4" x14ac:dyDescent="0.2">
      <c r="A7" s="404" t="s">
        <v>81</v>
      </c>
      <c r="B7" s="404" t="s">
        <v>82</v>
      </c>
      <c r="C7" s="404" t="s">
        <v>386</v>
      </c>
      <c r="D7" s="404" t="s">
        <v>387</v>
      </c>
    </row>
    <row r="8" spans="1:4" ht="12.75" customHeight="1" x14ac:dyDescent="0.2">
      <c r="A8" s="65">
        <v>1</v>
      </c>
      <c r="B8" s="405" t="s">
        <v>388</v>
      </c>
      <c r="C8" s="416">
        <v>6.12</v>
      </c>
      <c r="D8" s="416">
        <v>5.22</v>
      </c>
    </row>
    <row r="9" spans="1:4" ht="12.75" customHeight="1" x14ac:dyDescent="0.2">
      <c r="A9" s="88"/>
      <c r="B9" s="89" t="s">
        <v>5</v>
      </c>
      <c r="C9" s="413">
        <f>C8</f>
        <v>6.12</v>
      </c>
      <c r="D9" s="413">
        <f>D8</f>
        <v>5.22</v>
      </c>
    </row>
    <row r="10" spans="1:4" ht="12.75" customHeight="1" x14ac:dyDescent="0.2">
      <c r="A10" s="97">
        <v>7</v>
      </c>
      <c r="B10" s="98" t="s">
        <v>388</v>
      </c>
      <c r="C10" s="416">
        <v>6.28</v>
      </c>
      <c r="D10" s="416">
        <v>4.68</v>
      </c>
    </row>
    <row r="11" spans="1:4" ht="12.75" customHeight="1" x14ac:dyDescent="0.2">
      <c r="A11" s="88"/>
      <c r="B11" s="89" t="s">
        <v>21</v>
      </c>
      <c r="C11" s="413">
        <v>6.17</v>
      </c>
      <c r="D11" s="413">
        <v>4.96</v>
      </c>
    </row>
    <row r="12" spans="1:4" ht="12.75" customHeight="1" x14ac:dyDescent="0.2"/>
    <row r="13" spans="1:4" ht="12.75" customHeight="1" x14ac:dyDescent="0.2">
      <c r="A13" s="734" t="s">
        <v>389</v>
      </c>
      <c r="B13" s="734"/>
      <c r="C13" s="734"/>
      <c r="D13" s="734"/>
    </row>
    <row r="14" spans="1:4" x14ac:dyDescent="0.2">
      <c r="B14" s="173"/>
      <c r="C14" s="173"/>
      <c r="D14" s="173"/>
    </row>
    <row r="15" spans="1:4" ht="15.75" x14ac:dyDescent="0.2">
      <c r="A15" s="679" t="s">
        <v>390</v>
      </c>
      <c r="B15" s="680"/>
      <c r="C15" s="680"/>
      <c r="D15" s="681"/>
    </row>
    <row r="16" spans="1:4" ht="15" x14ac:dyDescent="0.2">
      <c r="A16" s="406"/>
      <c r="B16" s="531" t="s">
        <v>263</v>
      </c>
      <c r="C16" s="683" t="s">
        <v>264</v>
      </c>
      <c r="D16" s="684"/>
    </row>
    <row r="17" spans="1:4" ht="15" x14ac:dyDescent="0.2">
      <c r="A17" s="407" t="s">
        <v>265</v>
      </c>
      <c r="B17" s="320" t="s">
        <v>266</v>
      </c>
      <c r="C17" s="472"/>
      <c r="D17" s="469" t="s">
        <v>266</v>
      </c>
    </row>
    <row r="18" spans="1:4" x14ac:dyDescent="0.2">
      <c r="A18" s="408" t="s">
        <v>391</v>
      </c>
      <c r="B18" s="343">
        <v>5.83</v>
      </c>
      <c r="C18" s="473"/>
      <c r="D18" s="470">
        <v>6.63</v>
      </c>
    </row>
    <row r="19" spans="1:4" ht="15" x14ac:dyDescent="0.2">
      <c r="A19" s="409" t="s">
        <v>274</v>
      </c>
      <c r="B19" s="354">
        <f>B18</f>
        <v>5.83</v>
      </c>
      <c r="C19" s="474"/>
      <c r="D19" s="471">
        <f>D18</f>
        <v>6.63</v>
      </c>
    </row>
    <row r="21" spans="1:4" ht="42.75" customHeight="1" x14ac:dyDescent="0.2">
      <c r="A21" s="730" t="s">
        <v>392</v>
      </c>
      <c r="B21" s="731"/>
      <c r="C21" s="731"/>
      <c r="D21" s="731"/>
    </row>
  </sheetData>
  <mergeCells count="9">
    <mergeCell ref="A21:D21"/>
    <mergeCell ref="A1:D1"/>
    <mergeCell ref="A2:D2"/>
    <mergeCell ref="A3:D3"/>
    <mergeCell ref="A4:D4"/>
    <mergeCell ref="A6:D6"/>
    <mergeCell ref="A13:D13"/>
    <mergeCell ref="C16:D16"/>
    <mergeCell ref="A15:D15"/>
  </mergeCells>
  <pageMargins left="0.51181102362204722" right="0.51181102362204722" top="1.1811023622047245" bottom="1.1811023622047245" header="0.78740157480314954" footer="0.78740157480314954"/>
  <pageSetup paperSize="9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65408"/>
  <sheetViews>
    <sheetView showGridLines="0" zoomScale="84" zoomScaleNormal="84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X18" sqref="X18"/>
    </sheetView>
  </sheetViews>
  <sheetFormatPr defaultRowHeight="14.65" customHeight="1" x14ac:dyDescent="0.2"/>
  <cols>
    <col min="1" max="1" width="5" style="171" customWidth="1"/>
    <col min="2" max="2" width="33.75" style="47" customWidth="1"/>
    <col min="3" max="3" width="7.375" style="47" customWidth="1"/>
    <col min="4" max="4" width="12.25" style="47" customWidth="1"/>
    <col min="5" max="5" width="7.25" style="47" customWidth="1"/>
    <col min="6" max="6" width="12.625" style="47" customWidth="1"/>
    <col min="7" max="7" width="8.375" style="47" customWidth="1"/>
    <col min="8" max="8" width="12.625" style="47" customWidth="1"/>
    <col min="9" max="9" width="9.375" style="47" customWidth="1"/>
    <col min="10" max="10" width="11.375" style="47" customWidth="1"/>
    <col min="11" max="11" width="6.25" style="47" customWidth="1"/>
    <col min="12" max="12" width="12.625" style="47" customWidth="1"/>
    <col min="13" max="13" width="8.875" style="47" customWidth="1"/>
    <col min="14" max="14" width="12.25" style="47" customWidth="1"/>
    <col min="15" max="15" width="7.25" style="47" customWidth="1"/>
    <col min="16" max="16" width="11.375" style="47" customWidth="1"/>
    <col min="17" max="17" width="6" style="47" customWidth="1"/>
    <col min="18" max="18" width="11.75" style="47" customWidth="1"/>
    <col min="19" max="19" width="6.25" style="47" customWidth="1"/>
    <col min="20" max="20" width="10.125" style="47" customWidth="1"/>
    <col min="21" max="21" width="5.375" style="47" customWidth="1"/>
    <col min="22" max="22" width="10" style="47" customWidth="1"/>
    <col min="23" max="23" width="6.5" style="47" customWidth="1"/>
    <col min="24" max="24" width="12.75" style="47" customWidth="1"/>
    <col min="25" max="25" width="14.875" style="47" customWidth="1"/>
    <col min="26" max="26" width="13.75" style="47" customWidth="1"/>
    <col min="27" max="1022" width="10" style="47" customWidth="1"/>
  </cols>
  <sheetData>
    <row r="1" spans="1:1022" ht="24.4" customHeight="1" x14ac:dyDescent="0.2">
      <c r="A1" s="625" t="s">
        <v>475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  <c r="O1" s="626"/>
      <c r="P1" s="626"/>
      <c r="Q1" s="626"/>
      <c r="R1" s="626"/>
      <c r="S1" s="626"/>
      <c r="T1" s="626"/>
      <c r="U1" s="626"/>
      <c r="V1" s="626"/>
      <c r="W1" s="626"/>
      <c r="X1" s="627"/>
      <c r="AMG1"/>
      <c r="AMH1"/>
    </row>
    <row r="2" spans="1:1022" ht="12.75" customHeight="1" x14ac:dyDescent="0.2">
      <c r="A2" s="628" t="s">
        <v>71</v>
      </c>
      <c r="B2" s="628"/>
      <c r="C2" s="628"/>
      <c r="D2" s="628"/>
      <c r="E2" s="628"/>
      <c r="F2" s="628"/>
      <c r="G2" s="628"/>
      <c r="H2" s="628"/>
      <c r="I2" s="628"/>
      <c r="J2" s="628"/>
      <c r="K2" s="628"/>
      <c r="L2" s="628"/>
      <c r="M2" s="628"/>
      <c r="N2" s="628"/>
      <c r="O2" s="628"/>
      <c r="P2" s="628"/>
      <c r="Q2" s="628"/>
      <c r="R2" s="628"/>
      <c r="S2" s="628"/>
      <c r="T2" s="628"/>
      <c r="U2" s="628"/>
      <c r="V2" s="628"/>
      <c r="W2" s="628"/>
      <c r="X2" s="628"/>
      <c r="AMG2"/>
      <c r="AMH2"/>
    </row>
    <row r="3" spans="1:1022" ht="12.75" customHeight="1" x14ac:dyDescent="0.2">
      <c r="A3" s="629" t="s">
        <v>72</v>
      </c>
      <c r="B3" s="629"/>
      <c r="C3" s="629"/>
      <c r="D3" s="629"/>
      <c r="E3" s="629"/>
      <c r="F3" s="629"/>
      <c r="G3" s="629"/>
      <c r="H3" s="629"/>
      <c r="I3" s="629"/>
      <c r="J3" s="629"/>
      <c r="K3" s="629"/>
      <c r="L3" s="629"/>
      <c r="M3" s="629"/>
      <c r="N3" s="629"/>
      <c r="O3" s="629"/>
      <c r="P3" s="629"/>
      <c r="Q3" s="629"/>
      <c r="R3" s="629"/>
      <c r="S3" s="629"/>
      <c r="T3" s="629"/>
      <c r="U3" s="629"/>
      <c r="V3" s="629"/>
      <c r="W3" s="629"/>
      <c r="X3" s="629"/>
      <c r="AMG3"/>
      <c r="AMH3"/>
    </row>
    <row r="4" spans="1:1022" ht="24.4" customHeight="1" x14ac:dyDescent="0.2">
      <c r="A4" s="630" t="s">
        <v>73</v>
      </c>
      <c r="B4" s="631"/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  <c r="Q4" s="631"/>
      <c r="R4" s="631"/>
      <c r="S4" s="631"/>
      <c r="T4" s="631"/>
      <c r="U4" s="631"/>
      <c r="V4" s="631"/>
      <c r="W4" s="631"/>
      <c r="X4" s="632"/>
      <c r="AMG4"/>
      <c r="AMH4"/>
    </row>
    <row r="5" spans="1:1022" ht="14.65" customHeight="1" x14ac:dyDescent="0.2">
      <c r="A5" s="641"/>
      <c r="B5" s="641"/>
      <c r="C5" s="641"/>
      <c r="D5" s="641"/>
      <c r="E5" s="641"/>
      <c r="F5" s="641"/>
      <c r="G5" s="641"/>
      <c r="H5" s="641"/>
      <c r="I5" s="641"/>
      <c r="J5" s="641"/>
      <c r="K5" s="641"/>
      <c r="L5" s="641"/>
      <c r="M5" s="641"/>
      <c r="N5" s="641"/>
      <c r="O5" s="641"/>
      <c r="P5" s="48"/>
      <c r="Q5" s="48"/>
      <c r="R5" s="642" t="s">
        <v>74</v>
      </c>
      <c r="S5" s="642"/>
      <c r="T5" s="642"/>
      <c r="U5" s="642"/>
      <c r="V5" s="49"/>
      <c r="W5" s="49"/>
      <c r="X5" s="49"/>
    </row>
    <row r="6" spans="1:1022" ht="28.5" customHeight="1" x14ac:dyDescent="0.2">
      <c r="A6" s="50"/>
      <c r="B6" s="51"/>
      <c r="C6" s="51"/>
      <c r="D6" s="636" t="s">
        <v>75</v>
      </c>
      <c r="E6" s="636"/>
      <c r="F6" s="637" t="s">
        <v>76</v>
      </c>
      <c r="G6" s="637"/>
      <c r="H6" s="637"/>
      <c r="I6" s="637"/>
      <c r="J6" s="640" t="s">
        <v>77</v>
      </c>
      <c r="K6" s="640"/>
      <c r="L6" s="640"/>
      <c r="M6" s="640"/>
      <c r="N6" s="638" t="s">
        <v>78</v>
      </c>
      <c r="O6" s="638"/>
      <c r="P6" s="639" t="s">
        <v>79</v>
      </c>
      <c r="Q6" s="639"/>
      <c r="R6" s="633" t="s">
        <v>76</v>
      </c>
      <c r="S6" s="633"/>
      <c r="T6" s="634" t="s">
        <v>77</v>
      </c>
      <c r="U6" s="634"/>
      <c r="V6" s="635" t="s">
        <v>80</v>
      </c>
      <c r="W6" s="635"/>
      <c r="X6" s="49"/>
    </row>
    <row r="7" spans="1:1022" s="64" customFormat="1" ht="25.35" customHeight="1" x14ac:dyDescent="0.2">
      <c r="A7" s="52" t="s">
        <v>81</v>
      </c>
      <c r="B7" s="52" t="s">
        <v>82</v>
      </c>
      <c r="C7" s="53" t="s">
        <v>83</v>
      </c>
      <c r="D7" s="54" t="s">
        <v>84</v>
      </c>
      <c r="E7" s="55" t="s">
        <v>85</v>
      </c>
      <c r="F7" s="56" t="s">
        <v>86</v>
      </c>
      <c r="G7" s="57" t="s">
        <v>85</v>
      </c>
      <c r="H7" s="57" t="s">
        <v>87</v>
      </c>
      <c r="I7" s="57" t="s">
        <v>88</v>
      </c>
      <c r="J7" s="58" t="s">
        <v>461</v>
      </c>
      <c r="K7" s="59" t="s">
        <v>85</v>
      </c>
      <c r="L7" s="58" t="s">
        <v>87</v>
      </c>
      <c r="M7" s="59" t="s">
        <v>88</v>
      </c>
      <c r="N7" s="60" t="s">
        <v>89</v>
      </c>
      <c r="O7" s="60" t="s">
        <v>85</v>
      </c>
      <c r="P7" s="61" t="s">
        <v>90</v>
      </c>
      <c r="Q7" s="61" t="s">
        <v>85</v>
      </c>
      <c r="R7" s="55" t="s">
        <v>91</v>
      </c>
      <c r="S7" s="55" t="s">
        <v>85</v>
      </c>
      <c r="T7" s="57" t="s">
        <v>91</v>
      </c>
      <c r="U7" s="57" t="s">
        <v>85</v>
      </c>
      <c r="V7" s="62" t="s">
        <v>92</v>
      </c>
      <c r="W7" s="62" t="s">
        <v>85</v>
      </c>
      <c r="X7" s="63" t="s">
        <v>93</v>
      </c>
    </row>
    <row r="8" spans="1:1022" ht="15.95" customHeight="1" x14ac:dyDescent="0.2">
      <c r="A8" s="65">
        <v>1</v>
      </c>
      <c r="B8" s="66" t="s">
        <v>94</v>
      </c>
      <c r="C8" s="67">
        <v>0.05</v>
      </c>
      <c r="D8" s="68">
        <f>'PR -1'!C121</f>
        <v>5767.62</v>
      </c>
      <c r="E8" s="69">
        <f>'Informações e Quantidades'!E8</f>
        <v>2</v>
      </c>
      <c r="F8" s="71">
        <f>'Veículos - Custo Fixo'!C50</f>
        <v>2635.35</v>
      </c>
      <c r="G8" s="72">
        <f>'Informações e Quantidades'!F8</f>
        <v>2</v>
      </c>
      <c r="H8" s="73">
        <f>'Veículos - Custo Variável'!C61</f>
        <v>0.81147999999999998</v>
      </c>
      <c r="I8" s="72">
        <f>'Informações e Quantidades'!G8*G8</f>
        <v>4000</v>
      </c>
      <c r="J8" s="74">
        <f>'Veículos - Custo Fixo'!E50</f>
        <v>1149.73</v>
      </c>
      <c r="K8" s="75">
        <f>'Informações e Quantidades'!H8</f>
        <v>2</v>
      </c>
      <c r="L8" s="76">
        <f>'Veículos - Custo Variável'!E61</f>
        <v>1.3295599999999999</v>
      </c>
      <c r="M8" s="75">
        <f>'Informações e Quantidades'!I8*K8</f>
        <v>1400</v>
      </c>
      <c r="N8" s="77">
        <f>'Pernoite, Alimentação e HE'!D68</f>
        <v>147.93650793650795</v>
      </c>
      <c r="O8" s="78">
        <f>'Informações e Quantidades'!K8</f>
        <v>12</v>
      </c>
      <c r="P8" s="79">
        <f>'Pernoite, Alimentação e HE'!G68</f>
        <v>67.016967706622879</v>
      </c>
      <c r="Q8" s="80">
        <f>'Informações e Quantidades'!J8</f>
        <v>22</v>
      </c>
      <c r="R8" s="81">
        <f>'PR -1'!C121/220*(1+'Pernoite, Alimentação e HE'!H8)</f>
        <v>39.324681818181816</v>
      </c>
      <c r="S8" s="82">
        <f>'Informações e Quantidades'!L8</f>
        <v>40</v>
      </c>
      <c r="T8" s="83">
        <f>'PR -1'!D121/220*(1+'Pernoite, Alimentação e HE'!H8)</f>
        <v>39.324681818181816</v>
      </c>
      <c r="U8" s="84">
        <f>'Informações e Quantidades'!M8</f>
        <v>4</v>
      </c>
      <c r="V8" s="85">
        <f>'Combustíveis e Pedágios'!B19</f>
        <v>5.83</v>
      </c>
      <c r="W8" s="86">
        <f>'Informações e Quantidades'!N8</f>
        <v>48</v>
      </c>
      <c r="X8" s="87">
        <f>(D8*E8)+(F8*G8)+(H8*I8)+(J8*K8)+(L8*M8)+(N8*O8)+(P8*Q8)+(R8*S8)+(T8*U8)+(V8*W8)</f>
        <v>29472.441384783797</v>
      </c>
      <c r="Y8" s="23"/>
    </row>
    <row r="9" spans="1:1022" ht="15.95" customHeight="1" x14ac:dyDescent="0.2">
      <c r="A9" s="65">
        <v>2</v>
      </c>
      <c r="B9" s="66" t="s">
        <v>97</v>
      </c>
      <c r="C9" s="67">
        <v>0.05</v>
      </c>
      <c r="D9" s="68">
        <f>'PR -1'!C121</f>
        <v>5767.62</v>
      </c>
      <c r="E9" s="69">
        <f>'Informações e Quantidades'!E9</f>
        <v>1</v>
      </c>
      <c r="F9" s="71">
        <f>'Veículos - Custo Fixo'!C50</f>
        <v>2635.35</v>
      </c>
      <c r="G9" s="72">
        <f>'Informações e Quantidades'!F9</f>
        <v>2</v>
      </c>
      <c r="H9" s="73">
        <f>'Veículos - Custo Variável'!C61</f>
        <v>0.81147999999999998</v>
      </c>
      <c r="I9" s="72">
        <f>'Informações e Quantidades'!G9*G9</f>
        <v>2000</v>
      </c>
      <c r="J9" s="74">
        <f>'Veículos - Custo Fixo'!E50</f>
        <v>1149.73</v>
      </c>
      <c r="K9" s="75">
        <f>'Informações e Quantidades'!H9</f>
        <v>2</v>
      </c>
      <c r="L9" s="76">
        <f>'Veículos - Custo Variável'!E61</f>
        <v>1.3295599999999999</v>
      </c>
      <c r="M9" s="75">
        <f>'Informações e Quantidades'!I9*K9</f>
        <v>1400</v>
      </c>
      <c r="N9" s="77">
        <f>'Pernoite, Alimentação e HE'!D68</f>
        <v>147.93650793650795</v>
      </c>
      <c r="O9" s="78">
        <f>'Informações e Quantidades'!K9</f>
        <v>7</v>
      </c>
      <c r="P9" s="79">
        <f>'Pernoite, Alimentação e HE'!G68</f>
        <v>67.016967706622879</v>
      </c>
      <c r="Q9" s="80">
        <f>'Informações e Quantidades'!J9</f>
        <v>12</v>
      </c>
      <c r="R9" s="81">
        <f>'PR -1'!C121/220*(1+'Pernoite, Alimentação e HE'!H9)</f>
        <v>39.324681818181816</v>
      </c>
      <c r="S9" s="82">
        <f>'Informações e Quantidades'!L9</f>
        <v>20</v>
      </c>
      <c r="T9" s="83">
        <f>'PR -1'!D121/220*(1+'Pernoite, Alimentação e HE'!H9)</f>
        <v>39.324681818181816</v>
      </c>
      <c r="U9" s="84">
        <f>'Informações e Quantidades'!M9</f>
        <v>4</v>
      </c>
      <c r="V9" s="85">
        <f>'Combustíveis e Pedágios'!B19</f>
        <v>5.83</v>
      </c>
      <c r="W9" s="86">
        <f>'Informações e Quantidades'!N9</f>
        <v>48</v>
      </c>
      <c r="X9" s="87">
        <f t="shared" ref="X9:X10" si="0">(D9*E9)+(F9*G9)+(H9*I9)+(J9*K9)+(L9*M9)+(N9*O9)+(P9*Q9)+(R9*S9)+(T9*U9)+(V9*W9)</f>
        <v>19885.51553167139</v>
      </c>
      <c r="Y9" s="23"/>
    </row>
    <row r="10" spans="1:1022" ht="15.95" customHeight="1" x14ac:dyDescent="0.2">
      <c r="A10" s="65">
        <v>3</v>
      </c>
      <c r="B10" s="66" t="s">
        <v>96</v>
      </c>
      <c r="C10" s="67">
        <v>0.03</v>
      </c>
      <c r="D10" s="68">
        <f>'PR -1'!C120</f>
        <v>5644.05</v>
      </c>
      <c r="E10" s="69">
        <f>'Informações e Quantidades'!E10</f>
        <v>1</v>
      </c>
      <c r="F10" s="71">
        <f>'Veículos - Custo Fixo'!C47</f>
        <v>2578.88</v>
      </c>
      <c r="G10" s="72">
        <f>'Informações e Quantidades'!F10</f>
        <v>2</v>
      </c>
      <c r="H10" s="73">
        <f>'Veículos - Custo Variável'!C58</f>
        <v>0.79410000000000003</v>
      </c>
      <c r="I10" s="72">
        <f>'Informações e Quantidades'!G10*G10</f>
        <v>3000</v>
      </c>
      <c r="J10" s="74">
        <f>'Veículos - Custo Fixo'!E47</f>
        <v>1125.0999999999999</v>
      </c>
      <c r="K10" s="75">
        <f>'Informações e Quantidades'!H10</f>
        <v>2</v>
      </c>
      <c r="L10" s="76">
        <f>'Veículos - Custo Variável'!E58</f>
        <v>1.3010699999999999</v>
      </c>
      <c r="M10" s="75">
        <f>'Informações e Quantidades'!I10*K10</f>
        <v>1400</v>
      </c>
      <c r="N10" s="77">
        <f>'Pernoite, Alimentação e HE'!D65</f>
        <v>144.76700589180504</v>
      </c>
      <c r="O10" s="78">
        <f>'Informações e Quantidades'!K10</f>
        <v>7</v>
      </c>
      <c r="P10" s="79">
        <f>'Pernoite, Alimentação e HE'!G65</f>
        <v>65.581146223888595</v>
      </c>
      <c r="Q10" s="80">
        <f>'Informações e Quantidades'!J10</f>
        <v>12</v>
      </c>
      <c r="R10" s="81">
        <f>'PR -1'!C120/220*(1+'Pernoite, Alimentação e HE'!H10)</f>
        <v>38.482159090909093</v>
      </c>
      <c r="S10" s="82">
        <f>'Informações e Quantidades'!L10</f>
        <v>20</v>
      </c>
      <c r="T10" s="83">
        <f>'PR -1'!D120/220*(1+'Pernoite, Alimentação e HE'!H10)</f>
        <v>38.482159090909093</v>
      </c>
      <c r="U10" s="84">
        <f>'Informações e Quantidades'!M10</f>
        <v>4</v>
      </c>
      <c r="V10" s="85">
        <f>'Combustíveis e Pedágios'!B19</f>
        <v>5.83</v>
      </c>
      <c r="W10" s="86">
        <f>'Informações e Quantidades'!N10</f>
        <v>48</v>
      </c>
      <c r="X10" s="87">
        <f t="shared" si="0"/>
        <v>20259.562614111117</v>
      </c>
      <c r="Y10" s="23"/>
    </row>
    <row r="11" spans="1:1022" ht="15.95" customHeight="1" x14ac:dyDescent="0.2">
      <c r="A11" s="88"/>
      <c r="B11" s="89" t="s">
        <v>450</v>
      </c>
      <c r="C11" s="90"/>
      <c r="D11" s="91">
        <f>(D8*E8)+(D9*E9)+(D10*E10)</f>
        <v>22946.91</v>
      </c>
      <c r="E11" s="92">
        <f>SUM(E8:E10)</f>
        <v>4</v>
      </c>
      <c r="F11" s="91">
        <f>(F8*G8)+(F9*G9)+(F10*G10)</f>
        <v>15699.16</v>
      </c>
      <c r="G11" s="93">
        <f>SUM(G8:G10)</f>
        <v>6</v>
      </c>
      <c r="H11" s="91">
        <f>(H8*I8)+(H9*I9)+(H10*I10)</f>
        <v>7251.18</v>
      </c>
      <c r="I11" s="93">
        <f>SUM(I8:I10)</f>
        <v>9000</v>
      </c>
      <c r="J11" s="91">
        <f>(J8*K8)+(J9*K9)+(J10*K10)</f>
        <v>6849.12</v>
      </c>
      <c r="K11" s="93">
        <f>SUM(K8:K10)</f>
        <v>6</v>
      </c>
      <c r="L11" s="91">
        <f>(L8*M8)+(L9*M9)+(L10*M10)</f>
        <v>5544.2659999999996</v>
      </c>
      <c r="M11" s="93">
        <f>SUM(M8:M10)</f>
        <v>4200</v>
      </c>
      <c r="N11" s="91">
        <f>(N8*O8)+(N9*O9)+(N10*O10)</f>
        <v>3824.1626920362864</v>
      </c>
      <c r="O11" s="93">
        <f>SUM(O8:O10)</f>
        <v>26</v>
      </c>
      <c r="P11" s="91">
        <f>(P8*Q8)+(P9*Q9)+(P10*Q10)</f>
        <v>3065.5506567118409</v>
      </c>
      <c r="Q11" s="93">
        <f>SUM(Q8:Q10)</f>
        <v>46</v>
      </c>
      <c r="R11" s="91">
        <f>(R8*S8)+(R9*S9)+(R10*S10)</f>
        <v>3129.1240909090911</v>
      </c>
      <c r="S11" s="93">
        <f>SUM(S8:S10)</f>
        <v>80</v>
      </c>
      <c r="T11" s="91">
        <f>(T8*U8)+(T9*U9)+(T10*U10)</f>
        <v>468.5260909090909</v>
      </c>
      <c r="U11" s="93">
        <f>SUM(U8:U10)</f>
        <v>12</v>
      </c>
      <c r="V11" s="91">
        <f>(V8*W8)+(V9*W9)+(V10*W10)</f>
        <v>839.5200000000001</v>
      </c>
      <c r="W11" s="94">
        <f>SUM(W8:W10)</f>
        <v>144</v>
      </c>
      <c r="X11" s="91">
        <f>SUM(X8:X10)</f>
        <v>69617.519530566307</v>
      </c>
      <c r="Y11" s="23"/>
    </row>
    <row r="12" spans="1:1022" ht="15.95" customHeight="1" x14ac:dyDescent="0.2">
      <c r="A12" s="532">
        <v>4</v>
      </c>
      <c r="B12" s="533" t="s">
        <v>95</v>
      </c>
      <c r="C12" s="67">
        <v>0.05</v>
      </c>
      <c r="D12" s="68">
        <f>'PR - 2'!C115</f>
        <v>5840.03</v>
      </c>
      <c r="E12" s="69">
        <f>'Informações e Quantidades'!E12</f>
        <v>2</v>
      </c>
      <c r="F12" s="71">
        <f>'Veículos - Custo Fixo'!C50</f>
        <v>2635.35</v>
      </c>
      <c r="G12" s="72">
        <f>'Informações e Quantidades'!F12</f>
        <v>2</v>
      </c>
      <c r="H12" s="73">
        <f>'Veículos - Custo Variável'!C61</f>
        <v>0.81147999999999998</v>
      </c>
      <c r="I12" s="72">
        <f>'Informações e Quantidades'!G12*G12</f>
        <v>3000</v>
      </c>
      <c r="J12" s="74">
        <f>'Veículos - Custo Fixo'!E50</f>
        <v>1149.73</v>
      </c>
      <c r="K12" s="75">
        <f>'Informações e Quantidades'!H12</f>
        <v>2</v>
      </c>
      <c r="L12" s="76">
        <f>'Veículos - Custo Variável'!E61</f>
        <v>1.3295599999999999</v>
      </c>
      <c r="M12" s="75">
        <f>'Informações e Quantidades'!I12*2</f>
        <v>1400</v>
      </c>
      <c r="N12" s="77">
        <f>'Pernoite, Alimentação e HE'!D68</f>
        <v>147.93650793650795</v>
      </c>
      <c r="O12" s="78">
        <f>'Informações e Quantidades'!K12</f>
        <v>12</v>
      </c>
      <c r="P12" s="79">
        <f>'Pernoite, Alimentação e HE'!G68</f>
        <v>67.016967706622879</v>
      </c>
      <c r="Q12" s="80">
        <f>'Informações e Quantidades'!J12</f>
        <v>22</v>
      </c>
      <c r="R12" s="81">
        <f>'PR - 2'!C115/220*(1+'Pernoite, Alimentação e HE'!H12)</f>
        <v>39.818386363636364</v>
      </c>
      <c r="S12" s="82">
        <f>'Informações e Quantidades'!L12</f>
        <v>40</v>
      </c>
      <c r="T12" s="83">
        <f>'PR - 2'!D115/220*(1+'Pernoite, Alimentação e HE'!H12)</f>
        <v>39.818386363636364</v>
      </c>
      <c r="U12" s="84">
        <f>'Informações e Quantidades'!M12</f>
        <v>4</v>
      </c>
      <c r="V12" s="85">
        <f>'Combustíveis e Pedágios'!B19</f>
        <v>5.83</v>
      </c>
      <c r="W12" s="86">
        <f>'Informações e Quantidades'!N12</f>
        <v>48</v>
      </c>
      <c r="X12" s="87">
        <f>(D12*E12)+(F12*G12)+(H12*I12)+(J12*K12)+(L12*M12)+(N12*O12)+(P12*Q12)+(R12*S12)+(T12*U12)+(V12*W12)</f>
        <v>28827.504384783791</v>
      </c>
      <c r="Y12" s="23"/>
    </row>
    <row r="13" spans="1:1022" ht="14.65" customHeight="1" x14ac:dyDescent="0.2">
      <c r="A13" s="532">
        <v>5</v>
      </c>
      <c r="B13" s="533" t="s">
        <v>98</v>
      </c>
      <c r="C13" s="67">
        <v>0.05</v>
      </c>
      <c r="D13" s="68">
        <f>'PR - 2'!C115</f>
        <v>5840.03</v>
      </c>
      <c r="E13" s="69">
        <f>'Informações e Quantidades'!E13</f>
        <v>1</v>
      </c>
      <c r="F13" s="71">
        <f>'Veículos - Custo Fixo'!C50</f>
        <v>2635.35</v>
      </c>
      <c r="G13" s="72">
        <f>'Informações e Quantidades'!F13</f>
        <v>1</v>
      </c>
      <c r="H13" s="73">
        <f>'Veículos - Custo Variável'!C61</f>
        <v>0.81147999999999998</v>
      </c>
      <c r="I13" s="72">
        <f>'Informações e Quantidades'!G13*G13</f>
        <v>3000</v>
      </c>
      <c r="J13" s="74">
        <f>'Veículos - Custo Fixo'!E50</f>
        <v>1149.73</v>
      </c>
      <c r="K13" s="75">
        <f>'Informações e Quantidades'!H13</f>
        <v>2</v>
      </c>
      <c r="L13" s="76">
        <f>'Veículos - Custo Variável'!E61</f>
        <v>1.3295599999999999</v>
      </c>
      <c r="M13" s="75">
        <f>'Informações e Quantidades'!I13*2</f>
        <v>1400</v>
      </c>
      <c r="N13" s="77">
        <f>'Pernoite, Alimentação e HE'!D68</f>
        <v>147.93650793650795</v>
      </c>
      <c r="O13" s="78">
        <f>'Informações e Quantidades'!K13</f>
        <v>7</v>
      </c>
      <c r="P13" s="79">
        <f>'Pernoite, Alimentação e HE'!G68</f>
        <v>67.016967706622879</v>
      </c>
      <c r="Q13" s="80">
        <f>'Informações e Quantidades'!J13</f>
        <v>12</v>
      </c>
      <c r="R13" s="81">
        <f>'PR - 2'!C115/220*(1+'Pernoite, Alimentação e HE'!H13)</f>
        <v>39.818386363636364</v>
      </c>
      <c r="S13" s="82">
        <f>'Informações e Quantidades'!L13</f>
        <v>20</v>
      </c>
      <c r="T13" s="83">
        <f>'PR - 2'!D115/220*(1+'Pernoite, Alimentação e HE'!H13)</f>
        <v>39.818386363636364</v>
      </c>
      <c r="U13" s="84">
        <f>'Informações e Quantidades'!M13</f>
        <v>4</v>
      </c>
      <c r="V13" s="85">
        <f>'Combustíveis e Pedágios'!B19</f>
        <v>5.83</v>
      </c>
      <c r="W13" s="86">
        <f>'Informações e Quantidades'!N13</f>
        <v>26</v>
      </c>
      <c r="X13" s="87">
        <f>(D13*E13)+(F13*G13)+(H13*I13)+(J13*K13)+(L13*M13)+(N13*O13)+(P13*Q13)+(R13*S13)+(T13*U13)+(V13*W13)</f>
        <v>18017.644440762306</v>
      </c>
      <c r="Y13" s="23"/>
    </row>
    <row r="14" spans="1:1022" ht="14.65" customHeight="1" x14ac:dyDescent="0.2">
      <c r="A14" s="88"/>
      <c r="B14" s="89" t="s">
        <v>451</v>
      </c>
      <c r="C14" s="90"/>
      <c r="D14" s="91">
        <f>(D12*E12)+(D13*E13)</f>
        <v>17520.09</v>
      </c>
      <c r="E14" s="92">
        <f>SUM(E12:E13)</f>
        <v>3</v>
      </c>
      <c r="F14" s="91">
        <f>(F12*G12)+(F13*G13)</f>
        <v>7906.0499999999993</v>
      </c>
      <c r="G14" s="93">
        <f>SUM(G12:G13)</f>
        <v>3</v>
      </c>
      <c r="H14" s="91">
        <f>(H12*I12)+(H13*I13)</f>
        <v>4868.88</v>
      </c>
      <c r="I14" s="93">
        <f>SUM(I12:I13)</f>
        <v>6000</v>
      </c>
      <c r="J14" s="91">
        <f>(J12*K12)+(J13*K13)</f>
        <v>4598.92</v>
      </c>
      <c r="K14" s="93">
        <f>SUM(K12:K13)</f>
        <v>4</v>
      </c>
      <c r="L14" s="91">
        <f>(L12*M12)+(L13*M13)</f>
        <v>3722.7679999999996</v>
      </c>
      <c r="M14" s="93">
        <f>SUM(M12:M13)</f>
        <v>2800</v>
      </c>
      <c r="N14" s="91">
        <f>(N12*O12)+(N13*O13)</f>
        <v>2810.7936507936511</v>
      </c>
      <c r="O14" s="93">
        <f>SUM(O12:O13)</f>
        <v>19</v>
      </c>
      <c r="P14" s="91">
        <f>(P12*Q12)+(P13*Q13)</f>
        <v>2278.5769020251778</v>
      </c>
      <c r="Q14" s="93">
        <f>SUM(Q12:Q13)</f>
        <v>34</v>
      </c>
      <c r="R14" s="91">
        <f>(R12*S12)+(R13*S13)</f>
        <v>2389.1031818181818</v>
      </c>
      <c r="S14" s="93">
        <f>SUM(S12:S13)</f>
        <v>60</v>
      </c>
      <c r="T14" s="91">
        <f>(T12*U12)+(T13*U13)</f>
        <v>318.54709090909091</v>
      </c>
      <c r="U14" s="93">
        <f>SUM(U12:U13)</f>
        <v>8</v>
      </c>
      <c r="V14" s="91">
        <f>(V12*W12)+(V13*W13)</f>
        <v>431.42000000000007</v>
      </c>
      <c r="W14" s="94">
        <f>SUM(W12:W13)</f>
        <v>74</v>
      </c>
      <c r="X14" s="91">
        <f>SUM(X12:X13)</f>
        <v>46845.148825546101</v>
      </c>
      <c r="Y14" s="95"/>
      <c r="Z14" s="23"/>
    </row>
    <row r="15" spans="1:1022" ht="14.65" customHeight="1" x14ac:dyDescent="0.2">
      <c r="A15" s="97">
        <v>6</v>
      </c>
      <c r="B15" s="98" t="s">
        <v>99</v>
      </c>
      <c r="C15" s="67">
        <v>0.05</v>
      </c>
      <c r="D15" s="68">
        <f>'RS - 1'!C127</f>
        <v>4575.58</v>
      </c>
      <c r="E15" s="70">
        <f>'Informações e Quantidades'!E15</f>
        <v>2</v>
      </c>
      <c r="F15" s="71">
        <f>'Veículos - Custo Fixo'!D50</f>
        <v>2590.0100000000002</v>
      </c>
      <c r="G15" s="72">
        <f>'Informações e Quantidades'!F15</f>
        <v>2</v>
      </c>
      <c r="H15" s="73">
        <f>'Veículos - Custo Variável'!D61</f>
        <v>0.78620000000000001</v>
      </c>
      <c r="I15" s="72">
        <f>'Informações e Quantidades'!G15*G15</f>
        <v>3000</v>
      </c>
      <c r="J15" s="74">
        <f>'Veículos - Custo Fixo'!F50</f>
        <v>1149.73</v>
      </c>
      <c r="K15" s="75">
        <f>'Informações e Quantidades'!H15</f>
        <v>2</v>
      </c>
      <c r="L15" s="76">
        <f>'Veículos - Custo Variável'!F61</f>
        <v>1.3379799999999999</v>
      </c>
      <c r="M15" s="75">
        <f>'Informações e Quantidades'!I15*K15</f>
        <v>1400</v>
      </c>
      <c r="N15" s="77">
        <f>'Pernoite, Alimentação e HE'!E68</f>
        <v>123.47016967706622</v>
      </c>
      <c r="O15" s="78">
        <f>'Informações e Quantidades'!K15</f>
        <v>12</v>
      </c>
      <c r="P15" s="79">
        <f>'Pernoite, Alimentação e HE'!H68</f>
        <v>73.836891078270384</v>
      </c>
      <c r="Q15" s="80">
        <f>'Informações e Quantidades'!J15</f>
        <v>22</v>
      </c>
      <c r="R15" s="81">
        <f>'RS - 1'!C127/220*(1+'Pernoite, Alimentação e HE'!H15)</f>
        <v>31.197136363636364</v>
      </c>
      <c r="S15" s="82">
        <f>'Informações e Quantidades'!L15</f>
        <v>40</v>
      </c>
      <c r="T15" s="83">
        <f>'RS - 1'!D127/220*(1+'Pernoite, Alimentação e HE'!H15)</f>
        <v>31.99636363636364</v>
      </c>
      <c r="U15" s="84">
        <f>'Informações e Quantidades'!M15</f>
        <v>4</v>
      </c>
      <c r="V15" s="85">
        <f>'Combustíveis e Pedágios'!D19</f>
        <v>6.63</v>
      </c>
      <c r="W15" s="86">
        <f>'Informações e Quantidades'!N15</f>
        <v>48</v>
      </c>
      <c r="X15" s="87">
        <f>(D15*E15)+(F15*G15)+(H15*I15)+(J15*K15)+(L15*M15)+(N15*O15)+(P15*Q15)+(R15*S15)+(T15*U15)+(V15*W15)</f>
        <v>25662.576548937654</v>
      </c>
      <c r="Y15" s="95"/>
    </row>
    <row r="16" spans="1:1022" ht="14.65" customHeight="1" x14ac:dyDescent="0.2">
      <c r="A16" s="97">
        <v>7</v>
      </c>
      <c r="B16" s="98" t="s">
        <v>100</v>
      </c>
      <c r="C16" s="67">
        <v>0.02</v>
      </c>
      <c r="D16" s="68">
        <f>'RS - 1'!C125</f>
        <v>4430.1000000000004</v>
      </c>
      <c r="E16" s="70">
        <f>'Informações e Quantidades'!E16</f>
        <v>1</v>
      </c>
      <c r="F16" s="71">
        <f>'Veículos - Custo Fixo'!D46</f>
        <v>2507.65</v>
      </c>
      <c r="G16" s="72">
        <f>'Informações e Quantidades'!F16</f>
        <v>1</v>
      </c>
      <c r="H16" s="73">
        <f>'Veículos - Custo Variável'!D57</f>
        <v>0.7612000000000001</v>
      </c>
      <c r="I16" s="72">
        <f>'Informações e Quantidades'!G16*G16</f>
        <v>1000</v>
      </c>
      <c r="J16" s="74">
        <f>'Veículos - Custo Fixo'!F46</f>
        <v>1113.17</v>
      </c>
      <c r="K16" s="75">
        <f>'Informações e Quantidades'!H16</f>
        <v>2</v>
      </c>
      <c r="L16" s="76">
        <f>'Veículos - Custo Variável'!F57</f>
        <v>1.2954400000000001</v>
      </c>
      <c r="M16" s="75">
        <f>'Informações e Quantidades'!I16*K16</f>
        <v>1400</v>
      </c>
      <c r="N16" s="77">
        <f>'Pernoite, Alimentação e HE'!E64</f>
        <v>119.54425013248542</v>
      </c>
      <c r="O16" s="78">
        <f>'Informações e Quantidades'!K16</f>
        <v>7</v>
      </c>
      <c r="P16" s="79">
        <f>'Pernoite, Alimentação e HE'!H64</f>
        <v>71.489136195018546</v>
      </c>
      <c r="Q16" s="80">
        <f>'Informações e Quantidades'!J16</f>
        <v>12</v>
      </c>
      <c r="R16" s="81">
        <f>'RS - 1'!C125/220*(1+'Pernoite, Alimentação e HE'!H16)</f>
        <v>30.205227272727271</v>
      </c>
      <c r="S16" s="82">
        <f>'Informações e Quantidades'!L16</f>
        <v>20</v>
      </c>
      <c r="T16" s="83">
        <f>'RS - 1'!D125/220*(1+'Pernoite, Alimentação e HE'!H16)</f>
        <v>30.978954545454549</v>
      </c>
      <c r="U16" s="84">
        <f>'Informações e Quantidades'!M16</f>
        <v>4</v>
      </c>
      <c r="V16" s="85">
        <f>'Combustíveis e Pedágios'!D19</f>
        <v>6.63</v>
      </c>
      <c r="W16" s="86">
        <f>'Informações e Quantidades'!N16</f>
        <v>26</v>
      </c>
      <c r="X16" s="87">
        <f t="shared" ref="X16:X17" si="1">(D16*E16)+(F16*G16)+(H16*I16)+(J16*K16)+(L16*M16)+(N16*O16)+(P16*Q16)+(R16*S16)+(T16*U16)+(V16*W16)</f>
        <v>14333.985748903984</v>
      </c>
      <c r="Y16" s="96"/>
    </row>
    <row r="17" spans="1:26" ht="14.65" customHeight="1" x14ac:dyDescent="0.2">
      <c r="A17" s="97">
        <v>8</v>
      </c>
      <c r="B17" s="98" t="s">
        <v>101</v>
      </c>
      <c r="C17" s="67">
        <v>3.5000000000000003E-2</v>
      </c>
      <c r="D17" s="68">
        <f>'RS - 1'!C126</f>
        <v>4501.67</v>
      </c>
      <c r="E17" s="70">
        <f>'Informações e Quantidades'!E17</f>
        <v>1</v>
      </c>
      <c r="F17" s="71">
        <f>'Veículos - Custo Fixo'!D48</f>
        <v>2548.16</v>
      </c>
      <c r="G17" s="72">
        <f>'Informações e Quantidades'!F17</f>
        <v>1</v>
      </c>
      <c r="H17" s="73">
        <f>'Veículos - Custo Variável'!D59</f>
        <v>0.77349000000000001</v>
      </c>
      <c r="I17" s="72">
        <f>'Informações e Quantidades'!G17*G17</f>
        <v>2000</v>
      </c>
      <c r="J17" s="74">
        <f>'Veículos - Custo Fixo'!F48</f>
        <v>1131.1600000000001</v>
      </c>
      <c r="K17" s="75">
        <f>'Informações e Quantidades'!H17</f>
        <v>2</v>
      </c>
      <c r="L17" s="76">
        <f>'Veículos - Custo Variável'!F59</f>
        <v>1.3163699999999998</v>
      </c>
      <c r="M17" s="75">
        <f>'Informações e Quantidades'!I17*K17</f>
        <v>1400</v>
      </c>
      <c r="N17" s="77">
        <f>'Pernoite, Alimentação e HE'!E66</f>
        <v>121.47549811523963</v>
      </c>
      <c r="O17" s="78">
        <f>'Informações e Quantidades'!K17</f>
        <v>7</v>
      </c>
      <c r="P17" s="79">
        <f>'Pernoite, Alimentação e HE'!H66</f>
        <v>72.644049542272469</v>
      </c>
      <c r="Q17" s="80">
        <f>'Informações e Quantidades'!J17</f>
        <v>12</v>
      </c>
      <c r="R17" s="81">
        <f>'RS - 1'!C126/220*(1+'Pernoite, Alimentação e HE'!H17)</f>
        <v>30.693204545454549</v>
      </c>
      <c r="S17" s="82">
        <f>'Informações e Quantidades'!L17</f>
        <v>20</v>
      </c>
      <c r="T17" s="83">
        <f>'RS - 1'!D126/220*(1+'Pernoite, Alimentação e HE'!H17)</f>
        <v>31.479477272727273</v>
      </c>
      <c r="U17" s="84">
        <f>'Informações e Quantidades'!M17</f>
        <v>4</v>
      </c>
      <c r="V17" s="85">
        <f>'Combustíveis e Pedágios'!D19</f>
        <v>6.63</v>
      </c>
      <c r="W17" s="86">
        <f>'Informações e Quantidades'!N17</f>
        <v>26</v>
      </c>
      <c r="X17" s="87">
        <f t="shared" si="1"/>
        <v>15336.267081313943</v>
      </c>
      <c r="Y17" s="96"/>
    </row>
    <row r="18" spans="1:26" ht="14.65" customHeight="1" x14ac:dyDescent="0.2">
      <c r="A18" s="88"/>
      <c r="B18" s="89" t="s">
        <v>453</v>
      </c>
      <c r="C18" s="90"/>
      <c r="D18" s="91">
        <f>(D15*E15)+(D16*E16)+(D17*E17)</f>
        <v>18082.93</v>
      </c>
      <c r="E18" s="92">
        <f>SUM(E15:E17)</f>
        <v>4</v>
      </c>
      <c r="F18" s="91">
        <f>SUM(F15*G15)+(F16*G16)+(F17*G17)</f>
        <v>10235.83</v>
      </c>
      <c r="G18" s="93">
        <f>SUM(G15:G17)</f>
        <v>4</v>
      </c>
      <c r="H18" s="91">
        <f>(H15*I15)+(H16*I16)+(H17*I17)</f>
        <v>4666.7800000000007</v>
      </c>
      <c r="I18" s="93">
        <f>SUM(I15:I17)</f>
        <v>6000</v>
      </c>
      <c r="J18" s="91">
        <f>(J15*K15)+(J16*K16)+(J17*K17)</f>
        <v>6788.1200000000008</v>
      </c>
      <c r="K18" s="93">
        <f>SUM(K15:K17)</f>
        <v>6</v>
      </c>
      <c r="L18" s="91">
        <f>(L15*M15)+(L16*M16)+(L17*M17)</f>
        <v>5529.7060000000001</v>
      </c>
      <c r="M18" s="93">
        <f>SUM(M15:M17)</f>
        <v>4200</v>
      </c>
      <c r="N18" s="91">
        <f>(N15*O15)+(N16*O16)+(N17*O17)</f>
        <v>3168.7802738588703</v>
      </c>
      <c r="O18" s="93">
        <f>SUM(O15:O17)</f>
        <v>26</v>
      </c>
      <c r="P18" s="91">
        <f>(P15*Q15)+(P16*Q16)+(P17*Q17)</f>
        <v>3354.0098325694407</v>
      </c>
      <c r="Q18" s="93">
        <f>SUM(Q15:Q17)</f>
        <v>46</v>
      </c>
      <c r="R18" s="91">
        <f>(R15*S15)+(R16*S16)+(R17*S17)</f>
        <v>2465.8540909090907</v>
      </c>
      <c r="S18" s="93">
        <f>SUM(S15:S17)</f>
        <v>80</v>
      </c>
      <c r="T18" s="91">
        <f>(T15*U15)+(T16*U16)+(T17*U17)</f>
        <v>377.81918181818185</v>
      </c>
      <c r="U18" s="93">
        <f>SUM(U15:U17)</f>
        <v>12</v>
      </c>
      <c r="V18" s="91">
        <f>(V15*W15)+(V16*W16)+(V17*W17)</f>
        <v>663</v>
      </c>
      <c r="W18" s="93">
        <f>SUM(W15:W17)</f>
        <v>100</v>
      </c>
      <c r="X18" s="91">
        <f>SUM(X15:X17)</f>
        <v>55332.829379155577</v>
      </c>
      <c r="Y18" s="547"/>
    </row>
    <row r="19" spans="1:26" ht="14.65" customHeight="1" x14ac:dyDescent="0.2">
      <c r="A19" s="534">
        <v>9</v>
      </c>
      <c r="B19" s="535" t="s">
        <v>102</v>
      </c>
      <c r="C19" s="67">
        <v>0.02</v>
      </c>
      <c r="D19" s="68">
        <f>'RS -2'!C125</f>
        <v>4442.5</v>
      </c>
      <c r="E19" s="70">
        <f>'Informações e Quantidades'!E19</f>
        <v>0</v>
      </c>
      <c r="F19" s="71">
        <f>'Veículos - Custo Fixo'!D46</f>
        <v>2507.65</v>
      </c>
      <c r="G19" s="72">
        <f>'Informações e Quantidades'!F19</f>
        <v>1</v>
      </c>
      <c r="H19" s="73">
        <f>'Veículos - Custo Variável'!D57</f>
        <v>0.7612000000000001</v>
      </c>
      <c r="I19" s="72">
        <f>'Informações e Quantidades'!G19*G19</f>
        <v>1500</v>
      </c>
      <c r="J19" s="74">
        <f>'Veículos - Custo Fixo'!F46</f>
        <v>1113.17</v>
      </c>
      <c r="K19" s="75">
        <f>'Informações e Quantidades'!H19</f>
        <v>2</v>
      </c>
      <c r="L19" s="76">
        <f>'Veículos - Custo Variável'!F57</f>
        <v>1.2954400000000001</v>
      </c>
      <c r="M19" s="75">
        <f>'Informações e Quantidades'!I19*K19</f>
        <v>1400</v>
      </c>
      <c r="N19" s="77">
        <f>'Pernoite, Alimentação e HE'!E64</f>
        <v>119.54425013248542</v>
      </c>
      <c r="O19" s="78">
        <f>'Informações e Quantidades'!K19</f>
        <v>2</v>
      </c>
      <c r="P19" s="79">
        <f>'Pernoite, Alimentação e HE'!H64</f>
        <v>71.489136195018546</v>
      </c>
      <c r="Q19" s="80">
        <f>'Informações e Quantidades'!J19</f>
        <v>2</v>
      </c>
      <c r="R19" s="81">
        <f>'RS -2'!C125/220*(1+'Pernoite, Alimentação e HE'!H19)</f>
        <v>30.289772727272727</v>
      </c>
      <c r="S19" s="82">
        <f>'Informações e Quantidades'!L19</f>
        <v>0</v>
      </c>
      <c r="T19" s="83">
        <f>'RS -2'!D125/220*(1+'Pernoite, Alimentação e HE'!H19)</f>
        <v>31.06356818181818</v>
      </c>
      <c r="U19" s="84">
        <f>'Informações e Quantidades'!M19</f>
        <v>4</v>
      </c>
      <c r="V19" s="85">
        <f>'Combustíveis e Pedágios'!D19</f>
        <v>6.63</v>
      </c>
      <c r="W19" s="86">
        <f>'Informações e Quantidades'!N19</f>
        <v>26</v>
      </c>
      <c r="X19" s="87">
        <f>(D19*E19)+(F19*G19)+(H19*I19)+(J19*K19)+(L19*M19)+(N19*O19)+(P19*Q19)+(R19*S19)+(T19*U19)+(V19*W19)</f>
        <v>8368.1070453822813</v>
      </c>
      <c r="Y19" s="548"/>
    </row>
    <row r="20" spans="1:26" ht="14.65" customHeight="1" x14ac:dyDescent="0.2">
      <c r="A20" s="534">
        <v>10</v>
      </c>
      <c r="B20" s="535" t="s">
        <v>103</v>
      </c>
      <c r="C20" s="67">
        <v>0.03</v>
      </c>
      <c r="D20" s="68">
        <f>'RS -2'!C126</f>
        <v>4490.09</v>
      </c>
      <c r="E20" s="70">
        <f>'Informações e Quantidades'!E20</f>
        <v>1</v>
      </c>
      <c r="F20" s="71">
        <f>'Veículos - Custo Fixo'!D47</f>
        <v>2534.52</v>
      </c>
      <c r="G20" s="72">
        <f>'Informações e Quantidades'!F20</f>
        <v>1</v>
      </c>
      <c r="H20" s="73">
        <f>'Veículos - Custo Variável'!D58</f>
        <v>0.76934999999999998</v>
      </c>
      <c r="I20" s="72">
        <f>'Informações e Quantidades'!G20*G20</f>
        <v>2000</v>
      </c>
      <c r="J20" s="74">
        <f>'Veículos - Custo Fixo'!F47</f>
        <v>1125.0999999999999</v>
      </c>
      <c r="K20" s="75">
        <f>'Informações e Quantidades'!H20</f>
        <v>2</v>
      </c>
      <c r="L20" s="76">
        <f>'Veículos - Custo Variável'!F58</f>
        <v>1.30932</v>
      </c>
      <c r="M20" s="75">
        <f>'Informações e Quantidades'!I20*K20</f>
        <v>1400</v>
      </c>
      <c r="N20" s="77">
        <f>'Pernoite, Alimentação e HE'!E65</f>
        <v>120.82485270487413</v>
      </c>
      <c r="O20" s="78">
        <f>'Informações e Quantidades'!K20</f>
        <v>7</v>
      </c>
      <c r="P20" s="79">
        <f>'Pernoite, Alimentação e HE'!H65</f>
        <v>72.254954472415633</v>
      </c>
      <c r="Q20" s="80">
        <f>'Informações e Quantidades'!J20</f>
        <v>12</v>
      </c>
      <c r="R20" s="81">
        <f>'RS -2'!C126/220*(1+'Pernoite, Alimentação e HE'!H20)</f>
        <v>30.614250000000002</v>
      </c>
      <c r="S20" s="82">
        <f>'Informações e Quantidades'!L20</f>
        <v>20</v>
      </c>
      <c r="T20" s="83">
        <f>'RS -2'!D126/220*(1+'Pernoite, Alimentação e HE'!H20)</f>
        <v>31.396295454545452</v>
      </c>
      <c r="U20" s="84">
        <f>'Informações e Quantidades'!M20</f>
        <v>4</v>
      </c>
      <c r="V20" s="85">
        <f>'Combustíveis e Pedágios'!D19</f>
        <v>6.63</v>
      </c>
      <c r="W20" s="86">
        <f>'Informações e Quantidades'!N20</f>
        <v>26</v>
      </c>
      <c r="X20" s="87">
        <f t="shared" ref="X20:X22" si="2">(D20*E20)+(F20*G20)+(H20*I20)+(J20*K20)+(L20*M20)+(N20*O20)+(P20*Q20)+(R20*S20)+(T20*U20)+(V20*W20)</f>
        <v>15269.641604421291</v>
      </c>
      <c r="Y20" s="548"/>
    </row>
    <row r="21" spans="1:26" ht="14.65" customHeight="1" x14ac:dyDescent="0.2">
      <c r="A21" s="534">
        <v>11</v>
      </c>
      <c r="B21" s="535" t="s">
        <v>104</v>
      </c>
      <c r="C21" s="67">
        <v>0.04</v>
      </c>
      <c r="D21" s="68">
        <f>'RS -STM'!C115</f>
        <v>6972.24</v>
      </c>
      <c r="E21" s="70">
        <f>'Informações e Quantidades'!E21</f>
        <v>2</v>
      </c>
      <c r="F21" s="71">
        <f>'Veículos - Custo Fixo'!D49</f>
        <v>2561.96</v>
      </c>
      <c r="G21" s="72">
        <f>'Informações e Quantidades'!F21</f>
        <v>2</v>
      </c>
      <c r="H21" s="73">
        <f>'Veículos - Custo Variável'!D60</f>
        <v>0.77767999999999993</v>
      </c>
      <c r="I21" s="72">
        <f>'Informações e Quantidades'!G21*G21</f>
        <v>6000</v>
      </c>
      <c r="J21" s="74">
        <f>'Veículos - Custo Fixo'!F49</f>
        <v>1137.28</v>
      </c>
      <c r="K21" s="75">
        <f>'Informações e Quantidades'!H21</f>
        <v>2</v>
      </c>
      <c r="L21" s="76">
        <f>'Veículos - Custo Variável'!F60</f>
        <v>1.3234999999999999</v>
      </c>
      <c r="M21" s="75">
        <f>'Informações e Quantidades'!I21*K21</f>
        <v>1400</v>
      </c>
      <c r="N21" s="77">
        <f>'Pernoite, Alimentação e HE'!F67</f>
        <v>186.35625338386572</v>
      </c>
      <c r="O21" s="78">
        <f>'Informações e Quantidades'!K21</f>
        <v>12</v>
      </c>
      <c r="P21" s="79">
        <f>'Pernoite, Alimentação e HE'!I67</f>
        <v>67.287493232268545</v>
      </c>
      <c r="Q21" s="80">
        <f>'Informações e Quantidades'!J21</f>
        <v>22</v>
      </c>
      <c r="R21" s="81">
        <f>'RS -STM'!C115/220*(1+'Pernoite, Alimentação e HE'!H21)</f>
        <v>47.537999999999997</v>
      </c>
      <c r="S21" s="82">
        <f>'Informações e Quantidades'!L21</f>
        <v>40</v>
      </c>
      <c r="T21" s="83">
        <f>'RS -STM'!D115/220*(1+'Pernoite, Alimentação e HE'!H21)</f>
        <v>47.537999999999997</v>
      </c>
      <c r="U21" s="84">
        <f>'Informações e Quantidades'!M21</f>
        <v>4</v>
      </c>
      <c r="V21" s="85">
        <f>'Combustíveis e Pedágios'!D19</f>
        <v>6.63</v>
      </c>
      <c r="W21" s="86">
        <f>'Informações e Quantidades'!N21</f>
        <v>48</v>
      </c>
      <c r="X21" s="87">
        <f t="shared" si="2"/>
        <v>33988.4518917163</v>
      </c>
      <c r="Y21" s="96"/>
    </row>
    <row r="22" spans="1:26" ht="14.65" customHeight="1" x14ac:dyDescent="0.2">
      <c r="A22" s="534">
        <v>12</v>
      </c>
      <c r="B22" s="535" t="s">
        <v>105</v>
      </c>
      <c r="C22" s="67">
        <v>0.02</v>
      </c>
      <c r="D22" s="68">
        <f>'RS -2'!C125</f>
        <v>4442.5</v>
      </c>
      <c r="E22" s="70">
        <f>'Informações e Quantidades'!E22</f>
        <v>1</v>
      </c>
      <c r="F22" s="71">
        <f>'Veículos - Custo Fixo'!D46</f>
        <v>2507.65</v>
      </c>
      <c r="G22" s="72">
        <f>'Informações e Quantidades'!F22</f>
        <v>1</v>
      </c>
      <c r="H22" s="73">
        <f>'Veículos - Custo Variável'!D57</f>
        <v>0.7612000000000001</v>
      </c>
      <c r="I22" s="72">
        <f>'Informações e Quantidades'!G22*G22</f>
        <v>2500</v>
      </c>
      <c r="J22" s="74">
        <f>'Veículos - Custo Fixo'!F46</f>
        <v>1113.17</v>
      </c>
      <c r="K22" s="75">
        <f>'Informações e Quantidades'!H22</f>
        <v>2</v>
      </c>
      <c r="L22" s="76">
        <f>'Veículos - Custo Variável'!F57</f>
        <v>1.2954400000000001</v>
      </c>
      <c r="M22" s="75">
        <f>'Informações e Quantidades'!I22*K22</f>
        <v>1400</v>
      </c>
      <c r="N22" s="77">
        <f>'Pernoite, Alimentação e HE'!E64</f>
        <v>119.54425013248542</v>
      </c>
      <c r="O22" s="78">
        <f>'Informações e Quantidades'!K22</f>
        <v>7</v>
      </c>
      <c r="P22" s="79">
        <f>'Pernoite, Alimentação e HE'!H64</f>
        <v>71.489136195018546</v>
      </c>
      <c r="Q22" s="80">
        <f>'Informações e Quantidades'!J22</f>
        <v>12</v>
      </c>
      <c r="R22" s="81">
        <f>'RS -2'!C125/220*(1+'Pernoite, Alimentação e HE'!H22)</f>
        <v>30.289772727272727</v>
      </c>
      <c r="S22" s="82">
        <f>'Informações e Quantidades'!L22</f>
        <v>20</v>
      </c>
      <c r="T22" s="83">
        <f>'RS -2'!D125/220*(1+'Pernoite, Alimentação e HE'!H22)</f>
        <v>31.06356818181818</v>
      </c>
      <c r="U22" s="84">
        <f>'Informações e Quantidades'!M22</f>
        <v>4</v>
      </c>
      <c r="V22" s="85">
        <f>'Combustíveis e Pedágios'!D19</f>
        <v>6.63</v>
      </c>
      <c r="W22" s="86">
        <f>'Informações e Quantidades'!N22</f>
        <v>26</v>
      </c>
      <c r="X22" s="87">
        <f t="shared" si="2"/>
        <v>15490.215112540345</v>
      </c>
      <c r="Y22" s="95"/>
    </row>
    <row r="23" spans="1:26" ht="15.95" customHeight="1" x14ac:dyDescent="0.2">
      <c r="A23" s="88"/>
      <c r="B23" s="89" t="s">
        <v>452</v>
      </c>
      <c r="C23" s="90"/>
      <c r="D23" s="91">
        <f>(D19*E19)+(D20*E20)+(D21*E21)+(D22*E22)</f>
        <v>22877.07</v>
      </c>
      <c r="E23" s="92">
        <f>SUM(E19:E22)</f>
        <v>4</v>
      </c>
      <c r="F23" s="91">
        <f>SUM(F19*G19)+(F20*G20)+(F21*G21)+(F22*G22)</f>
        <v>12673.74</v>
      </c>
      <c r="G23" s="93">
        <f>SUM(G19:G22)</f>
        <v>5</v>
      </c>
      <c r="H23" s="91">
        <f>(H19*I19)+(H20*I20)+(H21*I21)+(H22*I22)</f>
        <v>9249.58</v>
      </c>
      <c r="I23" s="93">
        <f>SUM(I19:I22)</f>
        <v>12000</v>
      </c>
      <c r="J23" s="91">
        <f>(J19*K19)+(J20*K20)+(J21*K21)+(J22*K22)</f>
        <v>8977.44</v>
      </c>
      <c r="K23" s="93">
        <f>SUM(K19:K22)</f>
        <v>8</v>
      </c>
      <c r="L23" s="91">
        <f>(L19*M19)+(L20*M20)+(L21*M21)+(L22*M22)</f>
        <v>7313.18</v>
      </c>
      <c r="M23" s="93">
        <f>SUM(M19:M22)</f>
        <v>5600</v>
      </c>
      <c r="N23" s="91">
        <f>(N19*O19)+(N20*O20)+(N21*O21)+(N22*O22)</f>
        <v>4157.9472607328762</v>
      </c>
      <c r="O23" s="93">
        <f>SUM(O19:O22)</f>
        <v>28</v>
      </c>
      <c r="P23" s="91">
        <f>(P19*Q19)+(P20*Q20)+(P21*Q21)+(P22*Q22)</f>
        <v>3348.2322115091551</v>
      </c>
      <c r="Q23" s="93">
        <f>SUM(Q19:Q22)</f>
        <v>48</v>
      </c>
      <c r="R23" s="91">
        <f>(R19*S19)+(R20*S20)+(R21*S21)+(R22*S22)</f>
        <v>3119.6004545454548</v>
      </c>
      <c r="S23" s="93">
        <f>SUM(S19:S22)</f>
        <v>80</v>
      </c>
      <c r="T23" s="91">
        <f>(T19*U19)+(T20*U20)+(T21*U21)+(T22*U22)</f>
        <v>564.24572727272721</v>
      </c>
      <c r="U23" s="93">
        <f>SUM(U19:U22)</f>
        <v>16</v>
      </c>
      <c r="V23" s="91">
        <f>(V19*W19)+(V20*W20)+(V21*W21)+(V22*W22)</f>
        <v>835.38</v>
      </c>
      <c r="W23" s="93">
        <f>SUM(W19:W22)</f>
        <v>126</v>
      </c>
      <c r="X23" s="91">
        <f>SUM(X19:X22)</f>
        <v>73116.415654060213</v>
      </c>
      <c r="Y23" s="95"/>
      <c r="Z23" s="23"/>
    </row>
    <row r="24" spans="1:26" ht="14.65" customHeight="1" x14ac:dyDescent="0.2">
      <c r="A24" s="99"/>
      <c r="B24" s="100"/>
      <c r="C24" s="100"/>
      <c r="D24" s="101"/>
      <c r="E24" s="100"/>
      <c r="F24" s="100"/>
      <c r="G24" s="100"/>
      <c r="H24" s="100"/>
      <c r="I24" s="100"/>
      <c r="J24" s="102"/>
      <c r="K24" s="100"/>
      <c r="L24" s="100"/>
      <c r="M24" s="100"/>
      <c r="N24" s="100"/>
      <c r="O24" s="100"/>
      <c r="P24" s="49"/>
      <c r="Q24" s="49"/>
      <c r="R24" s="49"/>
      <c r="S24" s="49"/>
      <c r="T24" s="49"/>
      <c r="U24" s="49"/>
      <c r="V24" s="49"/>
      <c r="W24" s="49"/>
      <c r="X24" s="103"/>
      <c r="Y24" s="103"/>
      <c r="Z24" s="49"/>
    </row>
    <row r="25" spans="1:26" ht="8.25" customHeight="1" x14ac:dyDescent="0.2">
      <c r="A25" s="99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</row>
    <row r="26" spans="1:26" s="108" customFormat="1" ht="15.75" customHeight="1" x14ac:dyDescent="0.2">
      <c r="A26" s="104">
        <v>1</v>
      </c>
      <c r="B26" s="522" t="s">
        <v>462</v>
      </c>
      <c r="C26" s="105"/>
      <c r="D26" s="106">
        <f>D11</f>
        <v>22946.91</v>
      </c>
      <c r="E26" s="478">
        <f t="shared" ref="E26:W26" si="3">E11</f>
        <v>4</v>
      </c>
      <c r="F26" s="106">
        <f t="shared" si="3"/>
        <v>15699.16</v>
      </c>
      <c r="G26" s="478">
        <f t="shared" si="3"/>
        <v>6</v>
      </c>
      <c r="H26" s="106">
        <f t="shared" si="3"/>
        <v>7251.18</v>
      </c>
      <c r="I26" s="478">
        <f t="shared" si="3"/>
        <v>9000</v>
      </c>
      <c r="J26" s="106">
        <f t="shared" si="3"/>
        <v>6849.12</v>
      </c>
      <c r="K26" s="478">
        <f t="shared" si="3"/>
        <v>6</v>
      </c>
      <c r="L26" s="106">
        <f t="shared" si="3"/>
        <v>5544.2659999999996</v>
      </c>
      <c r="M26" s="478">
        <f t="shared" si="3"/>
        <v>4200</v>
      </c>
      <c r="N26" s="106">
        <f t="shared" si="3"/>
        <v>3824.1626920362864</v>
      </c>
      <c r="O26" s="478">
        <f t="shared" si="3"/>
        <v>26</v>
      </c>
      <c r="P26" s="106">
        <f t="shared" si="3"/>
        <v>3065.5506567118409</v>
      </c>
      <c r="Q26" s="478">
        <f t="shared" si="3"/>
        <v>46</v>
      </c>
      <c r="R26" s="106">
        <f t="shared" si="3"/>
        <v>3129.1240909090911</v>
      </c>
      <c r="S26" s="478">
        <f t="shared" si="3"/>
        <v>80</v>
      </c>
      <c r="T26" s="106">
        <f t="shared" si="3"/>
        <v>468.5260909090909</v>
      </c>
      <c r="U26" s="478">
        <f t="shared" si="3"/>
        <v>12</v>
      </c>
      <c r="V26" s="106">
        <f t="shared" si="3"/>
        <v>839.5200000000001</v>
      </c>
      <c r="W26" s="478">
        <f t="shared" si="3"/>
        <v>144</v>
      </c>
      <c r="X26" s="107">
        <f>D26+F26+H26+J26+L26+N26+P26+R26+T26+V26</f>
        <v>69617.519530566307</v>
      </c>
      <c r="Y26" s="479"/>
    </row>
    <row r="27" spans="1:26" s="108" customFormat="1" ht="14.65" customHeight="1" x14ac:dyDescent="0.2">
      <c r="A27" s="109"/>
      <c r="B27" s="110"/>
      <c r="C27" s="110"/>
      <c r="D27" s="111"/>
      <c r="E27" s="109"/>
      <c r="F27" s="109"/>
      <c r="G27" s="109"/>
      <c r="H27" s="109"/>
      <c r="I27" s="112"/>
      <c r="J27" s="113"/>
      <c r="K27" s="112"/>
      <c r="L27" s="114"/>
      <c r="M27" s="114"/>
      <c r="N27" s="114"/>
      <c r="O27" s="115"/>
      <c r="P27" s="116"/>
      <c r="Q27" s="116"/>
      <c r="R27" s="116"/>
      <c r="S27" s="116"/>
      <c r="T27" s="116"/>
      <c r="U27" s="116"/>
      <c r="V27" s="116"/>
      <c r="W27" s="114" t="s">
        <v>106</v>
      </c>
      <c r="X27" s="117">
        <f>X26</f>
        <v>69617.519530566307</v>
      </c>
    </row>
    <row r="28" spans="1:26" s="108" customFormat="1" ht="14.65" customHeight="1" x14ac:dyDescent="0.2">
      <c r="A28" s="118"/>
      <c r="B28" s="119"/>
      <c r="C28" s="119"/>
      <c r="D28" s="120"/>
      <c r="E28" s="118"/>
      <c r="F28" s="118"/>
      <c r="G28" s="118"/>
      <c r="H28" s="118"/>
      <c r="I28" s="121"/>
      <c r="J28" s="118"/>
      <c r="K28" s="121"/>
      <c r="L28" s="114"/>
      <c r="M28" s="114"/>
      <c r="N28" s="122"/>
      <c r="O28" s="115"/>
      <c r="P28" s="114"/>
      <c r="Q28" s="114"/>
      <c r="R28" s="114"/>
      <c r="S28" s="114"/>
      <c r="T28" s="114"/>
      <c r="U28" s="114"/>
      <c r="V28" s="114"/>
      <c r="W28" s="122" t="s">
        <v>107</v>
      </c>
      <c r="X28" s="117">
        <f>X27*12</f>
        <v>835410.23436679575</v>
      </c>
    </row>
    <row r="29" spans="1:26" s="108" customFormat="1" ht="14.65" customHeight="1" x14ac:dyDescent="0.2">
      <c r="A29" s="123"/>
      <c r="B29" s="124"/>
      <c r="C29" s="124"/>
      <c r="D29" s="102"/>
      <c r="E29" s="123"/>
      <c r="F29" s="123"/>
      <c r="G29" s="123"/>
      <c r="H29" s="123"/>
      <c r="I29" s="125"/>
      <c r="J29" s="123"/>
      <c r="K29" s="125"/>
      <c r="L29" s="123"/>
      <c r="M29" s="123"/>
      <c r="N29" s="123"/>
      <c r="O29" s="125"/>
      <c r="P29" s="123"/>
      <c r="Q29" s="123"/>
      <c r="R29" s="123"/>
      <c r="S29" s="126"/>
      <c r="T29" s="126"/>
      <c r="U29" s="126"/>
      <c r="V29" s="126"/>
      <c r="W29" s="126"/>
      <c r="X29" s="126"/>
    </row>
    <row r="30" spans="1:26" s="108" customFormat="1" ht="14.65" customHeight="1" x14ac:dyDescent="0.2">
      <c r="A30" s="481">
        <v>2</v>
      </c>
      <c r="B30" s="523" t="s">
        <v>443</v>
      </c>
      <c r="C30" s="482"/>
      <c r="D30" s="483">
        <f>D14</f>
        <v>17520.09</v>
      </c>
      <c r="E30" s="484">
        <f t="shared" ref="E30:W30" si="4">E14</f>
        <v>3</v>
      </c>
      <c r="F30" s="483">
        <f t="shared" si="4"/>
        <v>7906.0499999999993</v>
      </c>
      <c r="G30" s="484">
        <f t="shared" si="4"/>
        <v>3</v>
      </c>
      <c r="H30" s="483">
        <f t="shared" si="4"/>
        <v>4868.88</v>
      </c>
      <c r="I30" s="484">
        <f t="shared" si="4"/>
        <v>6000</v>
      </c>
      <c r="J30" s="483">
        <f t="shared" si="4"/>
        <v>4598.92</v>
      </c>
      <c r="K30" s="484">
        <f t="shared" si="4"/>
        <v>4</v>
      </c>
      <c r="L30" s="483">
        <f t="shared" si="4"/>
        <v>3722.7679999999996</v>
      </c>
      <c r="M30" s="484">
        <f t="shared" si="4"/>
        <v>2800</v>
      </c>
      <c r="N30" s="483">
        <f t="shared" si="4"/>
        <v>2810.7936507936511</v>
      </c>
      <c r="O30" s="484">
        <f t="shared" si="4"/>
        <v>19</v>
      </c>
      <c r="P30" s="483">
        <f t="shared" si="4"/>
        <v>2278.5769020251778</v>
      </c>
      <c r="Q30" s="484">
        <f t="shared" si="4"/>
        <v>34</v>
      </c>
      <c r="R30" s="483">
        <f t="shared" si="4"/>
        <v>2389.1031818181818</v>
      </c>
      <c r="S30" s="484">
        <f t="shared" si="4"/>
        <v>60</v>
      </c>
      <c r="T30" s="483">
        <f t="shared" si="4"/>
        <v>318.54709090909091</v>
      </c>
      <c r="U30" s="484">
        <f t="shared" si="4"/>
        <v>8</v>
      </c>
      <c r="V30" s="483">
        <f t="shared" si="4"/>
        <v>431.42000000000007</v>
      </c>
      <c r="W30" s="484">
        <f t="shared" si="4"/>
        <v>74</v>
      </c>
      <c r="X30" s="485">
        <f>D30+F30+H30+J30+L30+N30+P30+R30+T30+V30</f>
        <v>46845.148825546101</v>
      </c>
      <c r="Y30" s="479"/>
      <c r="Z30" s="479"/>
    </row>
    <row r="31" spans="1:26" s="108" customFormat="1" ht="14.65" customHeight="1" x14ac:dyDescent="0.2">
      <c r="A31" s="486"/>
      <c r="B31" s="487"/>
      <c r="C31" s="487"/>
      <c r="D31" s="488"/>
      <c r="E31" s="486"/>
      <c r="F31" s="486"/>
      <c r="G31" s="486"/>
      <c r="H31" s="486"/>
      <c r="I31" s="489"/>
      <c r="J31" s="490"/>
      <c r="K31" s="489"/>
      <c r="L31" s="491"/>
      <c r="M31" s="491"/>
      <c r="N31" s="491"/>
      <c r="O31" s="492"/>
      <c r="P31" s="493"/>
      <c r="Q31" s="493"/>
      <c r="R31" s="493"/>
      <c r="S31" s="493"/>
      <c r="T31" s="493"/>
      <c r="U31" s="493"/>
      <c r="V31" s="493"/>
      <c r="W31" s="491" t="s">
        <v>106</v>
      </c>
      <c r="X31" s="494">
        <f>X30</f>
        <v>46845.148825546101</v>
      </c>
    </row>
    <row r="32" spans="1:26" s="108" customFormat="1" ht="14.65" customHeight="1" x14ac:dyDescent="0.2">
      <c r="A32" s="495"/>
      <c r="B32" s="496"/>
      <c r="C32" s="496"/>
      <c r="D32" s="497"/>
      <c r="E32" s="495"/>
      <c r="F32" s="495"/>
      <c r="G32" s="495"/>
      <c r="H32" s="495"/>
      <c r="I32" s="498"/>
      <c r="J32" s="495"/>
      <c r="K32" s="498"/>
      <c r="L32" s="491"/>
      <c r="M32" s="491"/>
      <c r="N32" s="499"/>
      <c r="O32" s="492"/>
      <c r="P32" s="491"/>
      <c r="Q32" s="491"/>
      <c r="R32" s="491"/>
      <c r="S32" s="491"/>
      <c r="T32" s="491"/>
      <c r="U32" s="491"/>
      <c r="V32" s="491"/>
      <c r="W32" s="499" t="s">
        <v>107</v>
      </c>
      <c r="X32" s="494">
        <f>X31*12</f>
        <v>562141.78590655327</v>
      </c>
      <c r="Y32" s="127"/>
    </row>
    <row r="33" spans="1:25" s="108" customFormat="1" ht="14.65" customHeight="1" x14ac:dyDescent="0.2">
      <c r="A33" s="123"/>
      <c r="B33" s="124"/>
      <c r="C33" s="124"/>
      <c r="D33" s="102"/>
      <c r="E33" s="123"/>
      <c r="F33" s="123"/>
      <c r="G33" s="123"/>
      <c r="H33" s="123"/>
      <c r="I33" s="125"/>
      <c r="J33" s="123"/>
      <c r="K33" s="125"/>
      <c r="L33" s="123"/>
      <c r="M33" s="123"/>
      <c r="N33" s="123"/>
      <c r="O33" s="125"/>
      <c r="P33" s="123"/>
      <c r="Q33" s="123"/>
      <c r="R33" s="123"/>
      <c r="S33" s="126"/>
      <c r="T33" s="126"/>
      <c r="U33" s="126"/>
      <c r="V33" s="126"/>
      <c r="W33" s="126"/>
      <c r="X33" s="126"/>
      <c r="Y33" s="127"/>
    </row>
    <row r="34" spans="1:25" s="108" customFormat="1" ht="15.75" customHeight="1" x14ac:dyDescent="0.2">
      <c r="A34" s="128">
        <v>3</v>
      </c>
      <c r="B34" s="524" t="s">
        <v>463</v>
      </c>
      <c r="C34" s="129"/>
      <c r="D34" s="130">
        <f>D18</f>
        <v>18082.93</v>
      </c>
      <c r="E34" s="480">
        <f t="shared" ref="E34:W34" si="5">E18</f>
        <v>4</v>
      </c>
      <c r="F34" s="130">
        <f t="shared" si="5"/>
        <v>10235.83</v>
      </c>
      <c r="G34" s="480">
        <f t="shared" si="5"/>
        <v>4</v>
      </c>
      <c r="H34" s="130">
        <f t="shared" si="5"/>
        <v>4666.7800000000007</v>
      </c>
      <c r="I34" s="480">
        <f t="shared" si="5"/>
        <v>6000</v>
      </c>
      <c r="J34" s="130">
        <f t="shared" si="5"/>
        <v>6788.1200000000008</v>
      </c>
      <c r="K34" s="480">
        <f t="shared" si="5"/>
        <v>6</v>
      </c>
      <c r="L34" s="130">
        <f t="shared" si="5"/>
        <v>5529.7060000000001</v>
      </c>
      <c r="M34" s="480">
        <f t="shared" si="5"/>
        <v>4200</v>
      </c>
      <c r="N34" s="130">
        <f t="shared" si="5"/>
        <v>3168.7802738588703</v>
      </c>
      <c r="O34" s="480">
        <f t="shared" si="5"/>
        <v>26</v>
      </c>
      <c r="P34" s="130">
        <f t="shared" si="5"/>
        <v>3354.0098325694407</v>
      </c>
      <c r="Q34" s="480">
        <f t="shared" si="5"/>
        <v>46</v>
      </c>
      <c r="R34" s="130">
        <f t="shared" si="5"/>
        <v>2465.8540909090907</v>
      </c>
      <c r="S34" s="480">
        <f t="shared" si="5"/>
        <v>80</v>
      </c>
      <c r="T34" s="130">
        <f t="shared" si="5"/>
        <v>377.81918181818185</v>
      </c>
      <c r="U34" s="480">
        <f t="shared" si="5"/>
        <v>12</v>
      </c>
      <c r="V34" s="130">
        <f t="shared" si="5"/>
        <v>663</v>
      </c>
      <c r="W34" s="480">
        <f t="shared" si="5"/>
        <v>100</v>
      </c>
      <c r="X34" s="131">
        <f>D34+F34+H34+J34+L34+N34+P34+R34+T34+V34</f>
        <v>55332.829379155584</v>
      </c>
      <c r="Y34" s="479"/>
    </row>
    <row r="35" spans="1:25" s="108" customFormat="1" ht="15.75" customHeight="1" x14ac:dyDescent="0.2">
      <c r="A35" s="132"/>
      <c r="B35" s="133"/>
      <c r="C35" s="134"/>
      <c r="D35" s="134"/>
      <c r="E35" s="132"/>
      <c r="F35" s="132"/>
      <c r="G35" s="132"/>
      <c r="H35" s="132"/>
      <c r="I35" s="135"/>
      <c r="J35" s="132"/>
      <c r="K35" s="135"/>
      <c r="L35" s="136"/>
      <c r="M35" s="136"/>
      <c r="N35" s="137"/>
      <c r="O35" s="138"/>
      <c r="P35" s="139"/>
      <c r="Q35" s="139"/>
      <c r="R35" s="139"/>
      <c r="S35" s="139"/>
      <c r="T35" s="139"/>
      <c r="U35" s="139"/>
      <c r="V35" s="139"/>
      <c r="W35" s="137" t="s">
        <v>106</v>
      </c>
      <c r="X35" s="140">
        <f>X34</f>
        <v>55332.829379155584</v>
      </c>
    </row>
    <row r="36" spans="1:25" s="108" customFormat="1" ht="14.65" customHeight="1" x14ac:dyDescent="0.2">
      <c r="A36" s="141"/>
      <c r="B36" s="142"/>
      <c r="C36" s="142"/>
      <c r="D36" s="143"/>
      <c r="E36" s="141"/>
      <c r="F36" s="141"/>
      <c r="G36" s="141"/>
      <c r="H36" s="141"/>
      <c r="I36" s="144"/>
      <c r="J36" s="141"/>
      <c r="K36" s="144"/>
      <c r="L36" s="136"/>
      <c r="M36" s="136"/>
      <c r="N36" s="137"/>
      <c r="O36" s="138"/>
      <c r="P36" s="145"/>
      <c r="Q36" s="145"/>
      <c r="R36" s="145"/>
      <c r="S36" s="145"/>
      <c r="T36" s="145"/>
      <c r="U36" s="145"/>
      <c r="V36" s="145"/>
      <c r="W36" s="137" t="s">
        <v>107</v>
      </c>
      <c r="X36" s="140">
        <f>X35*12</f>
        <v>663993.95254986698</v>
      </c>
    </row>
    <row r="37" spans="1:25" s="108" customFormat="1" ht="14.65" customHeight="1" x14ac:dyDescent="0.2">
      <c r="A37" s="123"/>
      <c r="B37" s="124"/>
      <c r="C37" s="124"/>
      <c r="D37" s="102"/>
      <c r="E37" s="123"/>
      <c r="F37" s="123"/>
      <c r="G37" s="123"/>
      <c r="H37" s="123"/>
      <c r="I37" s="125"/>
      <c r="J37" s="123"/>
      <c r="K37" s="125"/>
      <c r="L37" s="123"/>
      <c r="M37" s="123"/>
      <c r="N37" s="123"/>
      <c r="O37" s="125"/>
      <c r="P37" s="123"/>
      <c r="Q37" s="123"/>
      <c r="R37" s="123"/>
      <c r="S37" s="126"/>
      <c r="T37" s="126"/>
      <c r="U37" s="126"/>
      <c r="V37" s="126"/>
      <c r="W37" s="126"/>
      <c r="X37" s="127"/>
    </row>
    <row r="38" spans="1:25" s="108" customFormat="1" ht="14.65" customHeight="1" x14ac:dyDescent="0.2">
      <c r="A38" s="503">
        <v>4</v>
      </c>
      <c r="B38" s="525" t="s">
        <v>445</v>
      </c>
      <c r="C38" s="504"/>
      <c r="D38" s="506">
        <f>D23</f>
        <v>22877.07</v>
      </c>
      <c r="E38" s="505">
        <f t="shared" ref="E38:W38" si="6">E23</f>
        <v>4</v>
      </c>
      <c r="F38" s="506">
        <f t="shared" si="6"/>
        <v>12673.74</v>
      </c>
      <c r="G38" s="505">
        <f t="shared" si="6"/>
        <v>5</v>
      </c>
      <c r="H38" s="506">
        <f t="shared" si="6"/>
        <v>9249.58</v>
      </c>
      <c r="I38" s="505">
        <f t="shared" si="6"/>
        <v>12000</v>
      </c>
      <c r="J38" s="506">
        <f t="shared" si="6"/>
        <v>8977.44</v>
      </c>
      <c r="K38" s="505">
        <f t="shared" si="6"/>
        <v>8</v>
      </c>
      <c r="L38" s="506">
        <f t="shared" si="6"/>
        <v>7313.18</v>
      </c>
      <c r="M38" s="505">
        <f t="shared" si="6"/>
        <v>5600</v>
      </c>
      <c r="N38" s="506">
        <f t="shared" si="6"/>
        <v>4157.9472607328762</v>
      </c>
      <c r="O38" s="506">
        <f t="shared" si="6"/>
        <v>28</v>
      </c>
      <c r="P38" s="506">
        <f t="shared" si="6"/>
        <v>3348.2322115091551</v>
      </c>
      <c r="Q38" s="505">
        <f t="shared" si="6"/>
        <v>48</v>
      </c>
      <c r="R38" s="506">
        <f t="shared" si="6"/>
        <v>3119.6004545454548</v>
      </c>
      <c r="S38" s="505">
        <f t="shared" si="6"/>
        <v>80</v>
      </c>
      <c r="T38" s="506">
        <f t="shared" si="6"/>
        <v>564.24572727272721</v>
      </c>
      <c r="U38" s="505">
        <f t="shared" si="6"/>
        <v>16</v>
      </c>
      <c r="V38" s="506">
        <f t="shared" si="6"/>
        <v>835.38</v>
      </c>
      <c r="W38" s="505">
        <f t="shared" si="6"/>
        <v>126</v>
      </c>
      <c r="X38" s="507">
        <f>D38+F38+H38+J38+L38+N38+P38+R38+T38+V38</f>
        <v>73116.415654060227</v>
      </c>
      <c r="Y38" s="479"/>
    </row>
    <row r="39" spans="1:25" s="108" customFormat="1" ht="14.65" customHeight="1" x14ac:dyDescent="0.2">
      <c r="A39" s="508"/>
      <c r="B39" s="509"/>
      <c r="C39" s="510"/>
      <c r="D39" s="510"/>
      <c r="E39" s="508"/>
      <c r="F39" s="508"/>
      <c r="G39" s="508"/>
      <c r="H39" s="508"/>
      <c r="I39" s="511"/>
      <c r="J39" s="508"/>
      <c r="K39" s="511"/>
      <c r="L39" s="512"/>
      <c r="M39" s="512"/>
      <c r="N39" s="513"/>
      <c r="O39" s="514"/>
      <c r="P39" s="515"/>
      <c r="Q39" s="515"/>
      <c r="R39" s="515"/>
      <c r="S39" s="515"/>
      <c r="T39" s="515"/>
      <c r="U39" s="515"/>
      <c r="V39" s="515"/>
      <c r="W39" s="513" t="s">
        <v>106</v>
      </c>
      <c r="X39" s="516">
        <f>X38</f>
        <v>73116.415654060227</v>
      </c>
    </row>
    <row r="40" spans="1:25" s="108" customFormat="1" ht="14.65" customHeight="1" x14ac:dyDescent="0.2">
      <c r="A40" s="517"/>
      <c r="B40" s="518"/>
      <c r="C40" s="518"/>
      <c r="D40" s="519"/>
      <c r="E40" s="517"/>
      <c r="F40" s="517"/>
      <c r="G40" s="517"/>
      <c r="H40" s="517"/>
      <c r="I40" s="520"/>
      <c r="J40" s="517"/>
      <c r="K40" s="520"/>
      <c r="L40" s="512"/>
      <c r="M40" s="512"/>
      <c r="N40" s="513"/>
      <c r="O40" s="514"/>
      <c r="P40" s="521"/>
      <c r="Q40" s="521"/>
      <c r="R40" s="521"/>
      <c r="S40" s="521"/>
      <c r="T40" s="521"/>
      <c r="U40" s="521"/>
      <c r="V40" s="521"/>
      <c r="W40" s="513" t="s">
        <v>107</v>
      </c>
      <c r="X40" s="516">
        <f>X39*12</f>
        <v>877396.98784872273</v>
      </c>
    </row>
    <row r="41" spans="1:25" s="108" customFormat="1" ht="14.65" customHeight="1" x14ac:dyDescent="0.2">
      <c r="A41" s="123"/>
      <c r="B41" s="124"/>
      <c r="C41" s="124"/>
      <c r="D41" s="102"/>
      <c r="E41" s="123"/>
      <c r="F41" s="123"/>
      <c r="G41" s="123"/>
      <c r="H41" s="123"/>
      <c r="I41" s="125"/>
      <c r="J41" s="123"/>
      <c r="K41" s="125"/>
      <c r="L41" s="123"/>
      <c r="M41" s="123"/>
      <c r="N41" s="123"/>
      <c r="O41" s="125"/>
      <c r="P41" s="123"/>
      <c r="Q41" s="123"/>
      <c r="R41" s="123"/>
      <c r="S41" s="126"/>
      <c r="T41" s="126"/>
      <c r="U41" s="126"/>
      <c r="V41" s="126"/>
      <c r="W41" s="126"/>
      <c r="X41" s="127"/>
    </row>
    <row r="42" spans="1:25" s="108" customFormat="1" ht="15.75" customHeight="1" x14ac:dyDescent="0.2">
      <c r="A42" s="146"/>
      <c r="B42" s="147" t="s">
        <v>108</v>
      </c>
      <c r="C42" s="148"/>
      <c r="D42" s="149">
        <f>D26+D30+D34+D38</f>
        <v>81427</v>
      </c>
      <c r="E42" s="465">
        <f t="shared" ref="E42:W42" si="7">E26+E30+E34+E38</f>
        <v>15</v>
      </c>
      <c r="F42" s="149">
        <f t="shared" si="7"/>
        <v>46514.78</v>
      </c>
      <c r="G42" s="465">
        <f t="shared" si="7"/>
        <v>18</v>
      </c>
      <c r="H42" s="149">
        <f t="shared" si="7"/>
        <v>26036.420000000006</v>
      </c>
      <c r="I42" s="465">
        <f t="shared" si="7"/>
        <v>33000</v>
      </c>
      <c r="J42" s="149">
        <f t="shared" si="7"/>
        <v>27213.600000000006</v>
      </c>
      <c r="K42" s="465">
        <f t="shared" si="7"/>
        <v>24</v>
      </c>
      <c r="L42" s="149">
        <f t="shared" si="7"/>
        <v>22109.919999999998</v>
      </c>
      <c r="M42" s="465">
        <f t="shared" si="7"/>
        <v>16800</v>
      </c>
      <c r="N42" s="149">
        <f t="shared" si="7"/>
        <v>13961.683877421685</v>
      </c>
      <c r="O42" s="465">
        <f t="shared" si="7"/>
        <v>99</v>
      </c>
      <c r="P42" s="149">
        <f t="shared" si="7"/>
        <v>12046.369602815616</v>
      </c>
      <c r="Q42" s="465">
        <f t="shared" si="7"/>
        <v>174</v>
      </c>
      <c r="R42" s="149">
        <f t="shared" si="7"/>
        <v>11103.681818181818</v>
      </c>
      <c r="S42" s="465">
        <f t="shared" si="7"/>
        <v>300</v>
      </c>
      <c r="T42" s="149">
        <f t="shared" si="7"/>
        <v>1729.138090909091</v>
      </c>
      <c r="U42" s="465">
        <f t="shared" si="7"/>
        <v>48</v>
      </c>
      <c r="V42" s="149">
        <f t="shared" si="7"/>
        <v>2769.32</v>
      </c>
      <c r="W42" s="465">
        <f t="shared" si="7"/>
        <v>444</v>
      </c>
      <c r="X42" s="150">
        <f>ROUND((D42+F42+H42+J42+L42+N42+P42+R42+T42+V42),2)</f>
        <v>244911.91</v>
      </c>
      <c r="Y42" s="479"/>
    </row>
    <row r="43" spans="1:25" s="108" customFormat="1" ht="15.75" customHeight="1" x14ac:dyDescent="0.2">
      <c r="A43" s="151"/>
      <c r="B43" s="152"/>
      <c r="C43" s="152"/>
      <c r="D43" s="153"/>
      <c r="E43" s="154"/>
      <c r="F43" s="154"/>
      <c r="G43" s="154"/>
      <c r="H43" s="154"/>
      <c r="I43" s="155"/>
      <c r="J43" s="156"/>
      <c r="K43" s="156"/>
      <c r="L43" s="157"/>
      <c r="M43" s="157"/>
      <c r="N43" s="158"/>
      <c r="O43" s="159"/>
      <c r="P43" s="160"/>
      <c r="Q43" s="160"/>
      <c r="R43" s="160"/>
      <c r="S43" s="160"/>
      <c r="T43" s="160"/>
      <c r="U43" s="160"/>
      <c r="V43" s="160"/>
      <c r="W43" s="158" t="s">
        <v>106</v>
      </c>
      <c r="X43" s="161">
        <f>X42</f>
        <v>244911.91</v>
      </c>
    </row>
    <row r="44" spans="1:25" s="108" customFormat="1" ht="15.75" customHeight="1" x14ac:dyDescent="0.2">
      <c r="A44" s="162"/>
      <c r="B44" s="163"/>
      <c r="C44" s="163"/>
      <c r="D44" s="164"/>
      <c r="E44" s="165"/>
      <c r="F44" s="165"/>
      <c r="G44" s="165"/>
      <c r="H44" s="165"/>
      <c r="I44" s="166"/>
      <c r="J44" s="166"/>
      <c r="K44" s="166"/>
      <c r="L44" s="157"/>
      <c r="M44" s="157"/>
      <c r="N44" s="158"/>
      <c r="O44" s="159"/>
      <c r="P44" s="160"/>
      <c r="Q44" s="160"/>
      <c r="R44" s="160"/>
      <c r="S44" s="160"/>
      <c r="T44" s="160"/>
      <c r="U44" s="160"/>
      <c r="V44" s="160"/>
      <c r="W44" s="158" t="s">
        <v>107</v>
      </c>
      <c r="X44" s="167">
        <f>X43*12</f>
        <v>2938942.92</v>
      </c>
    </row>
    <row r="45" spans="1:25" ht="8.25" customHeight="1" x14ac:dyDescent="0.2">
      <c r="A45" s="168"/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X45" s="23"/>
    </row>
    <row r="46" spans="1:25" ht="8.25" customHeight="1" x14ac:dyDescent="0.2">
      <c r="A46" s="168"/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</row>
    <row r="47" spans="1:25" ht="16.7" customHeight="1" x14ac:dyDescent="0.2">
      <c r="A47" s="168"/>
      <c r="B47" s="169"/>
      <c r="C47" s="169"/>
      <c r="D47" s="169"/>
      <c r="E47" s="169"/>
      <c r="F47" s="169"/>
      <c r="G47" s="169"/>
      <c r="H47" s="170"/>
      <c r="I47" s="169"/>
      <c r="J47" s="169"/>
      <c r="K47" s="169"/>
      <c r="L47" s="169"/>
      <c r="M47" s="169"/>
      <c r="N47" s="169"/>
      <c r="O47" s="169"/>
      <c r="X47" s="529"/>
      <c r="Y47" s="530"/>
    </row>
    <row r="48" spans="1:25" ht="8.25" customHeight="1" x14ac:dyDescent="0.2">
      <c r="A48" s="168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</row>
    <row r="49" spans="1:15" ht="8.25" customHeight="1" x14ac:dyDescent="0.2">
      <c r="A49" s="168"/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</row>
    <row r="50" spans="1:15" ht="8.25" customHeight="1" x14ac:dyDescent="0.2">
      <c r="A50" s="168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</row>
    <row r="51" spans="1:15" ht="8.25" customHeight="1" x14ac:dyDescent="0.2">
      <c r="A51" s="168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</row>
    <row r="52" spans="1:15" ht="8.25" customHeight="1" x14ac:dyDescent="0.2">
      <c r="A52" s="168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</row>
    <row r="53" spans="1:15" ht="8.25" customHeight="1" x14ac:dyDescent="0.2">
      <c r="A53" s="168"/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</row>
    <row r="54" spans="1:15" ht="8.25" customHeight="1" x14ac:dyDescent="0.2">
      <c r="A54" s="168"/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</row>
    <row r="55" spans="1:15" ht="8.25" customHeight="1" x14ac:dyDescent="0.2">
      <c r="A55" s="168"/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</row>
    <row r="56" spans="1:15" ht="8.25" customHeight="1" x14ac:dyDescent="0.2">
      <c r="A56" s="168"/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</row>
    <row r="57" spans="1:15" ht="8.25" customHeight="1" x14ac:dyDescent="0.2">
      <c r="A57" s="168"/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</row>
    <row r="58" spans="1:15" ht="8.25" customHeight="1" x14ac:dyDescent="0.2">
      <c r="A58" s="168"/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</row>
    <row r="59" spans="1:15" ht="8.25" customHeight="1" x14ac:dyDescent="0.2">
      <c r="A59" s="168"/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</row>
    <row r="60" spans="1:15" ht="8.25" customHeight="1" x14ac:dyDescent="0.2">
      <c r="A60" s="168"/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</row>
    <row r="61" spans="1:15" ht="8.25" customHeight="1" x14ac:dyDescent="0.2">
      <c r="A61" s="168"/>
      <c r="B61" s="169"/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</row>
    <row r="62" spans="1:15" ht="8.25" customHeight="1" x14ac:dyDescent="0.2">
      <c r="A62" s="168"/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</row>
    <row r="63" spans="1:15" ht="8.25" customHeight="1" x14ac:dyDescent="0.2">
      <c r="A63" s="168"/>
      <c r="B63" s="169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</row>
    <row r="64" spans="1:15" ht="8.25" customHeight="1" x14ac:dyDescent="0.2">
      <c r="A64" s="168"/>
      <c r="B64" s="169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</row>
    <row r="65" spans="1:15" ht="8.25" customHeight="1" x14ac:dyDescent="0.2">
      <c r="A65" s="168"/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</row>
    <row r="66" spans="1:15" ht="8.25" customHeight="1" x14ac:dyDescent="0.2">
      <c r="A66" s="168"/>
      <c r="B66" s="169"/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  <c r="O66" s="169"/>
    </row>
    <row r="67" spans="1:15" ht="8.25" customHeight="1" x14ac:dyDescent="0.2">
      <c r="A67" s="168"/>
      <c r="B67" s="169"/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</row>
    <row r="68" spans="1:15" ht="8.25" customHeight="1" x14ac:dyDescent="0.2">
      <c r="A68" s="168"/>
      <c r="B68" s="169"/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</row>
    <row r="69" spans="1:15" ht="8.25" customHeight="1" x14ac:dyDescent="0.2">
      <c r="A69" s="168"/>
      <c r="B69" s="169"/>
      <c r="C69" s="169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</row>
    <row r="70" spans="1:15" ht="8.25" customHeight="1" x14ac:dyDescent="0.2">
      <c r="A70" s="168"/>
      <c r="B70" s="169"/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</row>
    <row r="71" spans="1:15" ht="8.25" customHeight="1" x14ac:dyDescent="0.2">
      <c r="A71" s="168"/>
      <c r="B71" s="169"/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</row>
    <row r="72" spans="1:15" ht="8.25" customHeight="1" x14ac:dyDescent="0.2">
      <c r="A72" s="168"/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</row>
    <row r="73" spans="1:15" ht="8.25" customHeight="1" x14ac:dyDescent="0.2">
      <c r="A73" s="168"/>
      <c r="B73" s="169"/>
      <c r="C73" s="169"/>
      <c r="D73" s="169"/>
      <c r="E73" s="169"/>
      <c r="F73" s="169"/>
      <c r="G73" s="169"/>
      <c r="H73" s="169"/>
      <c r="I73" s="169"/>
      <c r="J73" s="169"/>
      <c r="K73" s="169"/>
      <c r="L73" s="169"/>
      <c r="M73" s="169"/>
      <c r="N73" s="169"/>
      <c r="O73" s="169"/>
    </row>
    <row r="74" spans="1:15" ht="8.25" customHeight="1" x14ac:dyDescent="0.2">
      <c r="A74" s="168"/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69"/>
      <c r="N74" s="169"/>
      <c r="O74" s="169"/>
    </row>
    <row r="75" spans="1:15" ht="8.25" customHeight="1" x14ac:dyDescent="0.2">
      <c r="A75" s="168"/>
      <c r="B75" s="169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</row>
    <row r="76" spans="1:15" ht="8.25" customHeight="1" x14ac:dyDescent="0.2">
      <c r="A76" s="168"/>
      <c r="B76" s="169"/>
      <c r="C76" s="169"/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69"/>
      <c r="O76" s="169"/>
    </row>
    <row r="77" spans="1:15" ht="8.25" customHeight="1" x14ac:dyDescent="0.2">
      <c r="A77" s="168"/>
      <c r="B77" s="169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169"/>
      <c r="N77" s="169"/>
      <c r="O77" s="169"/>
    </row>
    <row r="78" spans="1:15" ht="8.25" customHeight="1" x14ac:dyDescent="0.2">
      <c r="A78" s="168"/>
      <c r="B78" s="169"/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  <c r="O78" s="169"/>
    </row>
    <row r="79" spans="1:15" ht="8.25" customHeight="1" x14ac:dyDescent="0.2">
      <c r="A79" s="168"/>
      <c r="B79" s="169"/>
      <c r="C79" s="169"/>
      <c r="D79" s="169"/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</row>
    <row r="80" spans="1:15" ht="8.25" customHeight="1" x14ac:dyDescent="0.2">
      <c r="A80" s="168"/>
      <c r="B80" s="169"/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</row>
    <row r="81" spans="1:15" ht="8.25" customHeight="1" x14ac:dyDescent="0.2">
      <c r="A81" s="168"/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169"/>
      <c r="N81" s="169"/>
      <c r="O81" s="169"/>
    </row>
    <row r="82" spans="1:15" ht="8.25" customHeight="1" x14ac:dyDescent="0.2">
      <c r="A82" s="168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169"/>
      <c r="N82" s="169"/>
      <c r="O82" s="169"/>
    </row>
    <row r="83" spans="1:15" ht="8.25" customHeight="1" x14ac:dyDescent="0.2">
      <c r="A83" s="168"/>
      <c r="B83" s="169"/>
      <c r="C83" s="169"/>
      <c r="D83" s="169"/>
      <c r="E83" s="169"/>
      <c r="F83" s="169"/>
      <c r="G83" s="169"/>
      <c r="H83" s="169"/>
      <c r="I83" s="169"/>
      <c r="J83" s="169"/>
      <c r="K83" s="169"/>
      <c r="L83" s="169"/>
      <c r="M83" s="169"/>
      <c r="N83" s="169"/>
      <c r="O83" s="169"/>
    </row>
    <row r="84" spans="1:15" ht="8.25" customHeight="1" x14ac:dyDescent="0.2">
      <c r="A84" s="168"/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  <c r="O84" s="169"/>
    </row>
    <row r="85" spans="1:15" ht="8.25" customHeight="1" x14ac:dyDescent="0.2">
      <c r="A85" s="168"/>
      <c r="B85" s="169"/>
      <c r="C85" s="169"/>
      <c r="D85" s="169"/>
      <c r="E85" s="169"/>
      <c r="F85" s="169"/>
      <c r="G85" s="169"/>
      <c r="H85" s="169"/>
      <c r="I85" s="169"/>
      <c r="J85" s="169"/>
      <c r="K85" s="169"/>
      <c r="L85" s="169"/>
      <c r="M85" s="169"/>
      <c r="N85" s="169"/>
      <c r="O85" s="169"/>
    </row>
    <row r="86" spans="1:15" ht="8.25" customHeight="1" x14ac:dyDescent="0.2">
      <c r="A86" s="168"/>
      <c r="B86" s="169"/>
      <c r="C86" s="169"/>
      <c r="D86" s="169"/>
      <c r="E86" s="169"/>
      <c r="F86" s="169"/>
      <c r="G86" s="169"/>
      <c r="H86" s="169"/>
      <c r="I86" s="169"/>
      <c r="J86" s="169"/>
      <c r="K86" s="169"/>
      <c r="L86" s="169"/>
      <c r="M86" s="169"/>
      <c r="N86" s="169"/>
      <c r="O86" s="169"/>
    </row>
    <row r="87" spans="1:15" ht="8.25" customHeight="1" x14ac:dyDescent="0.2">
      <c r="A87" s="168"/>
      <c r="B87" s="169"/>
      <c r="C87" s="169"/>
      <c r="D87" s="169"/>
      <c r="E87" s="169"/>
      <c r="F87" s="169"/>
      <c r="G87" s="169"/>
      <c r="H87" s="169"/>
      <c r="I87" s="169"/>
      <c r="J87" s="169"/>
      <c r="K87" s="169"/>
      <c r="L87" s="169"/>
      <c r="M87" s="169"/>
      <c r="N87" s="169"/>
      <c r="O87" s="169"/>
    </row>
    <row r="88" spans="1:15" ht="8.25" customHeight="1" x14ac:dyDescent="0.2">
      <c r="A88" s="168"/>
      <c r="B88" s="169"/>
      <c r="C88" s="169"/>
      <c r="D88" s="169"/>
      <c r="E88" s="169"/>
      <c r="F88" s="169"/>
      <c r="G88" s="169"/>
      <c r="H88" s="169"/>
      <c r="I88" s="169"/>
      <c r="J88" s="169"/>
      <c r="K88" s="169"/>
      <c r="L88" s="169"/>
      <c r="M88" s="169"/>
      <c r="N88" s="169"/>
      <c r="O88" s="169"/>
    </row>
    <row r="89" spans="1:15" ht="8.25" customHeight="1" x14ac:dyDescent="0.2">
      <c r="A89" s="168"/>
      <c r="B89" s="169"/>
      <c r="C89" s="169"/>
      <c r="D89" s="169"/>
      <c r="E89" s="169"/>
      <c r="F89" s="169"/>
      <c r="G89" s="169"/>
      <c r="H89" s="169"/>
      <c r="I89" s="169"/>
      <c r="J89" s="169"/>
      <c r="K89" s="169"/>
      <c r="L89" s="169"/>
      <c r="M89" s="169"/>
      <c r="N89" s="169"/>
      <c r="O89" s="169"/>
    </row>
    <row r="90" spans="1:15" ht="8.25" customHeight="1" x14ac:dyDescent="0.2">
      <c r="A90" s="168"/>
      <c r="B90" s="169"/>
      <c r="C90" s="169"/>
      <c r="D90" s="169"/>
      <c r="E90" s="169"/>
      <c r="F90" s="169"/>
      <c r="G90" s="169"/>
      <c r="H90" s="169"/>
      <c r="I90" s="169"/>
      <c r="J90" s="169"/>
      <c r="K90" s="169"/>
      <c r="L90" s="169"/>
      <c r="M90" s="169"/>
      <c r="N90" s="169"/>
      <c r="O90" s="169"/>
    </row>
    <row r="91" spans="1:15" ht="8.25" customHeight="1" x14ac:dyDescent="0.2">
      <c r="A91" s="168"/>
      <c r="B91" s="169"/>
      <c r="C91" s="169"/>
      <c r="D91" s="169"/>
      <c r="E91" s="169"/>
      <c r="F91" s="169"/>
      <c r="G91" s="169"/>
      <c r="H91" s="169"/>
      <c r="I91" s="169"/>
      <c r="J91" s="169"/>
      <c r="K91" s="169"/>
      <c r="L91" s="169"/>
      <c r="M91" s="169"/>
      <c r="N91" s="169"/>
      <c r="O91" s="169"/>
    </row>
    <row r="92" spans="1:15" ht="8.25" customHeight="1" x14ac:dyDescent="0.2">
      <c r="A92" s="168"/>
      <c r="B92" s="169"/>
      <c r="C92" s="169"/>
      <c r="D92" s="169"/>
      <c r="E92" s="169"/>
      <c r="F92" s="169"/>
      <c r="G92" s="169"/>
      <c r="H92" s="169"/>
      <c r="I92" s="169"/>
      <c r="J92" s="169"/>
      <c r="K92" s="169"/>
      <c r="L92" s="169"/>
      <c r="M92" s="169"/>
      <c r="N92" s="169"/>
      <c r="O92" s="169"/>
    </row>
    <row r="93" spans="1:15" ht="8.25" customHeight="1" x14ac:dyDescent="0.2">
      <c r="A93" s="168"/>
      <c r="B93" s="169"/>
      <c r="C93" s="169"/>
      <c r="D93" s="169"/>
      <c r="E93" s="169"/>
      <c r="F93" s="169"/>
      <c r="G93" s="169"/>
      <c r="H93" s="169"/>
      <c r="I93" s="169"/>
      <c r="J93" s="169"/>
      <c r="K93" s="169"/>
      <c r="L93" s="169"/>
      <c r="M93" s="169"/>
      <c r="N93" s="169"/>
      <c r="O93" s="169"/>
    </row>
    <row r="94" spans="1:15" ht="8.25" customHeight="1" x14ac:dyDescent="0.2">
      <c r="A94" s="168"/>
      <c r="B94" s="169"/>
      <c r="C94" s="169"/>
      <c r="D94" s="169"/>
      <c r="E94" s="169"/>
      <c r="F94" s="169"/>
      <c r="G94" s="169"/>
      <c r="H94" s="169"/>
      <c r="I94" s="169"/>
      <c r="J94" s="169"/>
      <c r="K94" s="169"/>
      <c r="L94" s="169"/>
      <c r="M94" s="169"/>
      <c r="N94" s="169"/>
      <c r="O94" s="169"/>
    </row>
    <row r="95" spans="1:15" ht="8.25" customHeight="1" x14ac:dyDescent="0.2">
      <c r="A95" s="168"/>
      <c r="B95" s="169"/>
      <c r="C95" s="169"/>
      <c r="D95" s="169"/>
      <c r="E95" s="169"/>
      <c r="F95" s="169"/>
      <c r="G95" s="169"/>
      <c r="H95" s="169"/>
      <c r="I95" s="169"/>
      <c r="J95" s="169"/>
      <c r="K95" s="169"/>
      <c r="L95" s="169"/>
      <c r="M95" s="169"/>
      <c r="N95" s="169"/>
      <c r="O95" s="169"/>
    </row>
    <row r="96" spans="1:15" ht="8.25" customHeight="1" x14ac:dyDescent="0.2">
      <c r="A96" s="168"/>
      <c r="B96" s="169"/>
      <c r="C96" s="169"/>
      <c r="D96" s="169"/>
      <c r="E96" s="169"/>
      <c r="F96" s="169"/>
      <c r="G96" s="169"/>
      <c r="H96" s="169"/>
      <c r="I96" s="169"/>
      <c r="J96" s="169"/>
      <c r="K96" s="169"/>
      <c r="L96" s="169"/>
      <c r="M96" s="169"/>
      <c r="N96" s="169"/>
      <c r="O96" s="169"/>
    </row>
    <row r="97" spans="1:15" ht="8.25" customHeight="1" x14ac:dyDescent="0.2">
      <c r="A97" s="168"/>
      <c r="B97" s="169"/>
      <c r="C97" s="169"/>
      <c r="D97" s="169"/>
      <c r="E97" s="169"/>
      <c r="F97" s="169"/>
      <c r="G97" s="169"/>
      <c r="H97" s="169"/>
      <c r="I97" s="169"/>
      <c r="J97" s="169"/>
      <c r="K97" s="169"/>
      <c r="L97" s="169"/>
      <c r="M97" s="169"/>
      <c r="N97" s="169"/>
      <c r="O97" s="169"/>
    </row>
    <row r="98" spans="1:15" ht="8.25" customHeight="1" x14ac:dyDescent="0.2">
      <c r="A98" s="168"/>
      <c r="B98" s="169"/>
      <c r="C98" s="169"/>
      <c r="D98" s="169"/>
      <c r="E98" s="169"/>
      <c r="F98" s="169"/>
      <c r="G98" s="169"/>
      <c r="H98" s="169"/>
      <c r="I98" s="169"/>
      <c r="J98" s="169"/>
      <c r="K98" s="169"/>
      <c r="L98" s="169"/>
      <c r="M98" s="169"/>
      <c r="N98" s="169"/>
      <c r="O98" s="169"/>
    </row>
    <row r="99" spans="1:15" ht="8.25" customHeight="1" x14ac:dyDescent="0.2">
      <c r="A99" s="168"/>
      <c r="B99" s="169"/>
      <c r="C99" s="169"/>
      <c r="D99" s="169"/>
      <c r="E99" s="169"/>
      <c r="F99" s="169"/>
      <c r="G99" s="169"/>
      <c r="H99" s="169"/>
      <c r="I99" s="169"/>
      <c r="J99" s="169"/>
      <c r="K99" s="169"/>
      <c r="L99" s="169"/>
      <c r="M99" s="169"/>
      <c r="N99" s="169"/>
      <c r="O99" s="169"/>
    </row>
    <row r="100" spans="1:15" ht="8.25" customHeight="1" x14ac:dyDescent="0.2">
      <c r="A100" s="168"/>
      <c r="B100" s="169"/>
      <c r="C100" s="169"/>
      <c r="D100" s="169"/>
      <c r="E100" s="169"/>
      <c r="F100" s="169"/>
      <c r="G100" s="169"/>
      <c r="H100" s="169"/>
      <c r="I100" s="169"/>
      <c r="J100" s="169"/>
      <c r="K100" s="169"/>
      <c r="L100" s="169"/>
      <c r="M100" s="169"/>
      <c r="N100" s="169"/>
      <c r="O100" s="169"/>
    </row>
    <row r="101" spans="1:15" ht="8.25" customHeight="1" x14ac:dyDescent="0.2">
      <c r="A101" s="168"/>
      <c r="B101" s="169"/>
      <c r="C101" s="169"/>
      <c r="D101" s="169"/>
      <c r="E101" s="169"/>
      <c r="F101" s="169"/>
      <c r="G101" s="169"/>
      <c r="H101" s="169"/>
      <c r="I101" s="169"/>
      <c r="J101" s="169"/>
      <c r="K101" s="169"/>
      <c r="L101" s="169"/>
      <c r="M101" s="169"/>
      <c r="N101" s="169"/>
      <c r="O101" s="169"/>
    </row>
    <row r="102" spans="1:15" ht="8.25" customHeight="1" x14ac:dyDescent="0.2">
      <c r="A102" s="168"/>
      <c r="B102" s="169"/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  <c r="O102" s="169"/>
    </row>
    <row r="103" spans="1:15" ht="8.25" customHeight="1" x14ac:dyDescent="0.2">
      <c r="A103" s="168"/>
      <c r="B103" s="169"/>
      <c r="C103" s="169"/>
      <c r="D103" s="169"/>
      <c r="E103" s="169"/>
      <c r="F103" s="169"/>
      <c r="G103" s="169"/>
      <c r="H103" s="169"/>
      <c r="I103" s="169"/>
      <c r="J103" s="169"/>
      <c r="K103" s="169"/>
      <c r="L103" s="169"/>
      <c r="M103" s="169"/>
      <c r="N103" s="169"/>
      <c r="O103" s="169"/>
    </row>
    <row r="104" spans="1:15" ht="8.25" customHeight="1" x14ac:dyDescent="0.2">
      <c r="A104" s="168"/>
      <c r="B104" s="169"/>
      <c r="C104" s="169"/>
      <c r="D104" s="169"/>
      <c r="E104" s="169"/>
      <c r="F104" s="169"/>
      <c r="G104" s="169"/>
      <c r="H104" s="169"/>
      <c r="I104" s="169"/>
      <c r="J104" s="169"/>
      <c r="K104" s="169"/>
      <c r="L104" s="169"/>
      <c r="M104" s="169"/>
      <c r="N104" s="169"/>
      <c r="O104" s="169"/>
    </row>
    <row r="105" spans="1:15" ht="8.25" customHeight="1" x14ac:dyDescent="0.2">
      <c r="A105" s="168"/>
      <c r="B105" s="169"/>
      <c r="C105" s="169"/>
      <c r="D105" s="169"/>
      <c r="E105" s="169"/>
      <c r="F105" s="169"/>
      <c r="G105" s="169"/>
      <c r="H105" s="169"/>
      <c r="I105" s="169"/>
      <c r="J105" s="169"/>
      <c r="K105" s="169"/>
      <c r="L105" s="169"/>
      <c r="M105" s="169"/>
      <c r="N105" s="169"/>
      <c r="O105" s="169"/>
    </row>
    <row r="106" spans="1:15" ht="8.25" customHeight="1" x14ac:dyDescent="0.2">
      <c r="A106" s="168"/>
      <c r="B106" s="169"/>
      <c r="C106" s="169"/>
      <c r="D106" s="169"/>
      <c r="E106" s="169"/>
      <c r="F106" s="169"/>
      <c r="G106" s="169"/>
      <c r="H106" s="169"/>
      <c r="I106" s="169"/>
      <c r="J106" s="169"/>
      <c r="K106" s="169"/>
      <c r="L106" s="169"/>
      <c r="M106" s="169"/>
      <c r="N106" s="169"/>
      <c r="O106" s="169"/>
    </row>
    <row r="107" spans="1:15" ht="8.25" customHeight="1" x14ac:dyDescent="0.2">
      <c r="A107" s="168"/>
      <c r="B107" s="169"/>
      <c r="C107" s="169"/>
      <c r="D107" s="169"/>
      <c r="E107" s="169"/>
      <c r="F107" s="169"/>
      <c r="G107" s="169"/>
      <c r="H107" s="169"/>
      <c r="I107" s="169"/>
      <c r="J107" s="169"/>
      <c r="K107" s="169"/>
      <c r="L107" s="169"/>
      <c r="M107" s="169"/>
      <c r="N107" s="169"/>
      <c r="O107" s="169"/>
    </row>
    <row r="108" spans="1:15" ht="8.25" customHeight="1" x14ac:dyDescent="0.2">
      <c r="A108" s="168"/>
      <c r="B108" s="169"/>
      <c r="C108" s="169"/>
      <c r="D108" s="169"/>
      <c r="E108" s="169"/>
      <c r="F108" s="169"/>
      <c r="G108" s="169"/>
      <c r="H108" s="169"/>
      <c r="I108" s="169"/>
      <c r="J108" s="169"/>
      <c r="K108" s="169"/>
      <c r="L108" s="169"/>
      <c r="M108" s="169"/>
      <c r="N108" s="169"/>
      <c r="O108" s="169"/>
    </row>
    <row r="109" spans="1:15" ht="8.25" customHeight="1" x14ac:dyDescent="0.2">
      <c r="A109" s="168"/>
      <c r="B109" s="169"/>
      <c r="C109" s="169"/>
      <c r="D109" s="169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  <c r="O109" s="169"/>
    </row>
    <row r="110" spans="1:15" ht="8.25" customHeight="1" x14ac:dyDescent="0.2">
      <c r="A110" s="168"/>
      <c r="B110" s="169"/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  <c r="O110" s="169"/>
    </row>
    <row r="111" spans="1:15" ht="8.25" customHeight="1" x14ac:dyDescent="0.2">
      <c r="A111" s="168"/>
      <c r="B111" s="169"/>
      <c r="C111" s="169"/>
      <c r="D111" s="169"/>
      <c r="E111" s="169"/>
      <c r="F111" s="169"/>
      <c r="G111" s="169"/>
      <c r="H111" s="169"/>
      <c r="I111" s="169"/>
      <c r="J111" s="169"/>
      <c r="K111" s="169"/>
      <c r="L111" s="169"/>
      <c r="M111" s="169"/>
      <c r="N111" s="169"/>
      <c r="O111" s="169"/>
    </row>
    <row r="112" spans="1:15" ht="8.25" customHeight="1" x14ac:dyDescent="0.2">
      <c r="A112" s="168"/>
      <c r="B112" s="169"/>
      <c r="C112" s="169"/>
      <c r="D112" s="169"/>
      <c r="E112" s="169"/>
      <c r="F112" s="169"/>
      <c r="G112" s="169"/>
      <c r="H112" s="169"/>
      <c r="I112" s="169"/>
      <c r="J112" s="169"/>
      <c r="K112" s="169"/>
      <c r="L112" s="169"/>
      <c r="M112" s="169"/>
      <c r="N112" s="169"/>
      <c r="O112" s="169"/>
    </row>
    <row r="113" spans="1:15" ht="8.25" customHeight="1" x14ac:dyDescent="0.2">
      <c r="A113" s="168"/>
      <c r="B113" s="169"/>
      <c r="C113" s="169"/>
      <c r="D113" s="169"/>
      <c r="E113" s="169"/>
      <c r="F113" s="169"/>
      <c r="G113" s="169"/>
      <c r="H113" s="169"/>
      <c r="I113" s="169"/>
      <c r="J113" s="169"/>
      <c r="K113" s="169"/>
      <c r="L113" s="169"/>
      <c r="M113" s="169"/>
      <c r="N113" s="169"/>
      <c r="O113" s="169"/>
    </row>
    <row r="114" spans="1:15" ht="8.25" customHeight="1" x14ac:dyDescent="0.2">
      <c r="A114" s="168"/>
      <c r="B114" s="169"/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  <c r="O114" s="169"/>
    </row>
    <row r="115" spans="1:15" ht="8.25" customHeight="1" x14ac:dyDescent="0.2">
      <c r="A115" s="168"/>
      <c r="B115" s="169"/>
      <c r="C115" s="169"/>
      <c r="D115" s="169"/>
      <c r="E115" s="169"/>
      <c r="F115" s="169"/>
      <c r="G115" s="169"/>
      <c r="H115" s="169"/>
      <c r="I115" s="169"/>
      <c r="J115" s="169"/>
      <c r="K115" s="169"/>
      <c r="L115" s="169"/>
      <c r="M115" s="169"/>
      <c r="N115" s="169"/>
      <c r="O115" s="169"/>
    </row>
    <row r="116" spans="1:15" ht="8.25" customHeight="1" x14ac:dyDescent="0.2">
      <c r="A116" s="168"/>
      <c r="B116" s="169"/>
      <c r="C116" s="169"/>
      <c r="D116" s="169"/>
      <c r="E116" s="169"/>
      <c r="F116" s="169"/>
      <c r="G116" s="169"/>
      <c r="H116" s="169"/>
      <c r="I116" s="169"/>
      <c r="J116" s="169"/>
      <c r="K116" s="169"/>
      <c r="L116" s="169"/>
      <c r="M116" s="169"/>
      <c r="N116" s="169"/>
      <c r="O116" s="169"/>
    </row>
    <row r="117" spans="1:15" ht="8.25" customHeight="1" x14ac:dyDescent="0.2">
      <c r="A117" s="168"/>
      <c r="B117" s="169"/>
      <c r="C117" s="169"/>
      <c r="D117" s="169"/>
      <c r="E117" s="169"/>
      <c r="F117" s="169"/>
      <c r="G117" s="169"/>
      <c r="H117" s="169"/>
      <c r="I117" s="169"/>
      <c r="J117" s="169"/>
      <c r="K117" s="169"/>
      <c r="L117" s="169"/>
      <c r="M117" s="169"/>
      <c r="N117" s="169"/>
      <c r="O117" s="169"/>
    </row>
    <row r="118" spans="1:15" ht="8.25" customHeight="1" x14ac:dyDescent="0.2">
      <c r="A118" s="168"/>
      <c r="B118" s="169"/>
      <c r="C118" s="169"/>
      <c r="D118" s="169"/>
      <c r="E118" s="169"/>
      <c r="F118" s="169"/>
      <c r="G118" s="169"/>
      <c r="H118" s="169"/>
      <c r="I118" s="169"/>
      <c r="J118" s="169"/>
      <c r="K118" s="169"/>
      <c r="L118" s="169"/>
      <c r="M118" s="169"/>
      <c r="N118" s="169"/>
      <c r="O118" s="169"/>
    </row>
    <row r="119" spans="1:15" ht="8.25" customHeight="1" x14ac:dyDescent="0.2">
      <c r="A119" s="168"/>
      <c r="B119" s="169"/>
      <c r="C119" s="169"/>
      <c r="D119" s="169"/>
      <c r="E119" s="169"/>
      <c r="F119" s="169"/>
      <c r="G119" s="169"/>
      <c r="H119" s="169"/>
      <c r="I119" s="169"/>
      <c r="J119" s="169"/>
      <c r="K119" s="169"/>
      <c r="L119" s="169"/>
      <c r="M119" s="169"/>
      <c r="N119" s="169"/>
      <c r="O119" s="169"/>
    </row>
    <row r="120" spans="1:15" ht="8.25" customHeight="1" x14ac:dyDescent="0.2">
      <c r="A120" s="168"/>
      <c r="B120" s="169"/>
      <c r="C120" s="169"/>
      <c r="D120" s="169"/>
      <c r="E120" s="169"/>
      <c r="F120" s="169"/>
      <c r="G120" s="169"/>
      <c r="H120" s="169"/>
      <c r="I120" s="169"/>
      <c r="J120" s="169"/>
      <c r="K120" s="169"/>
      <c r="L120" s="169"/>
      <c r="M120" s="169"/>
      <c r="N120" s="169"/>
      <c r="O120" s="169"/>
    </row>
    <row r="121" spans="1:15" ht="8.25" customHeight="1" x14ac:dyDescent="0.2">
      <c r="A121" s="168"/>
      <c r="B121" s="169"/>
      <c r="C121" s="169"/>
      <c r="D121" s="169"/>
      <c r="E121" s="169"/>
      <c r="F121" s="169"/>
      <c r="G121" s="169"/>
      <c r="H121" s="169"/>
      <c r="I121" s="169"/>
      <c r="J121" s="169"/>
      <c r="K121" s="169"/>
      <c r="L121" s="169"/>
      <c r="M121" s="169"/>
      <c r="N121" s="169"/>
      <c r="O121" s="169"/>
    </row>
    <row r="122" spans="1:15" ht="8.25" customHeight="1" x14ac:dyDescent="0.2">
      <c r="A122" s="168"/>
      <c r="B122" s="169"/>
      <c r="C122" s="169"/>
      <c r="D122" s="169"/>
      <c r="E122" s="169"/>
      <c r="F122" s="169"/>
      <c r="G122" s="169"/>
      <c r="H122" s="169"/>
      <c r="I122" s="169"/>
      <c r="J122" s="169"/>
      <c r="K122" s="169"/>
      <c r="L122" s="169"/>
      <c r="M122" s="169"/>
      <c r="N122" s="169"/>
      <c r="O122" s="169"/>
    </row>
    <row r="123" spans="1:15" ht="8.25" customHeight="1" x14ac:dyDescent="0.2">
      <c r="A123" s="168"/>
      <c r="B123" s="169"/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  <c r="O123" s="169"/>
    </row>
    <row r="124" spans="1:15" ht="8.25" customHeight="1" x14ac:dyDescent="0.2">
      <c r="A124" s="168"/>
      <c r="B124" s="169"/>
      <c r="C124" s="169"/>
      <c r="D124" s="169"/>
      <c r="E124" s="169"/>
      <c r="F124" s="169"/>
      <c r="G124" s="169"/>
      <c r="H124" s="169"/>
      <c r="I124" s="169"/>
      <c r="J124" s="169"/>
      <c r="K124" s="169"/>
      <c r="L124" s="169"/>
      <c r="M124" s="169"/>
      <c r="N124" s="169"/>
      <c r="O124" s="169"/>
    </row>
    <row r="125" spans="1:15" ht="8.25" customHeight="1" x14ac:dyDescent="0.2">
      <c r="A125" s="168"/>
      <c r="B125" s="169"/>
      <c r="C125" s="169"/>
      <c r="D125" s="169"/>
      <c r="E125" s="169"/>
      <c r="F125" s="169"/>
      <c r="G125" s="169"/>
      <c r="H125" s="169"/>
      <c r="I125" s="169"/>
      <c r="J125" s="169"/>
      <c r="K125" s="169"/>
      <c r="L125" s="169"/>
      <c r="M125" s="169"/>
      <c r="N125" s="169"/>
      <c r="O125" s="169"/>
    </row>
    <row r="126" spans="1:15" ht="8.25" customHeight="1" x14ac:dyDescent="0.2">
      <c r="A126" s="168"/>
      <c r="B126" s="169"/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  <c r="O126" s="169"/>
    </row>
    <row r="65323" ht="12.75" customHeight="1" x14ac:dyDescent="0.2"/>
    <row r="65324" ht="12.75" customHeight="1" x14ac:dyDescent="0.2"/>
    <row r="65325" ht="12.75" customHeight="1" x14ac:dyDescent="0.2"/>
    <row r="65326" ht="12.75" customHeight="1" x14ac:dyDescent="0.2"/>
    <row r="65327" ht="12.75" customHeight="1" x14ac:dyDescent="0.2"/>
    <row r="65328" ht="12.75" customHeight="1" x14ac:dyDescent="0.2"/>
    <row r="65329" ht="12.75" customHeight="1" x14ac:dyDescent="0.2"/>
    <row r="65330" ht="12.75" customHeight="1" x14ac:dyDescent="0.2"/>
    <row r="65331" ht="12.75" customHeight="1" x14ac:dyDescent="0.2"/>
    <row r="65332" ht="12.75" customHeight="1" x14ac:dyDescent="0.2"/>
    <row r="65333" ht="12.75" customHeight="1" x14ac:dyDescent="0.2"/>
    <row r="65334" ht="12.75" customHeight="1" x14ac:dyDescent="0.2"/>
    <row r="65335" ht="12.75" customHeight="1" x14ac:dyDescent="0.2"/>
    <row r="65336" ht="12.75" customHeight="1" x14ac:dyDescent="0.2"/>
    <row r="65337" ht="12.75" customHeight="1" x14ac:dyDescent="0.2"/>
    <row r="65338" ht="12.75" customHeight="1" x14ac:dyDescent="0.2"/>
    <row r="65339" ht="12.75" customHeight="1" x14ac:dyDescent="0.2"/>
    <row r="65340" ht="12.75" customHeight="1" x14ac:dyDescent="0.2"/>
    <row r="65341" ht="12.75" customHeight="1" x14ac:dyDescent="0.2"/>
    <row r="65342" ht="12.75" customHeight="1" x14ac:dyDescent="0.2"/>
    <row r="65343" ht="12.75" customHeight="1" x14ac:dyDescent="0.2"/>
    <row r="65344" ht="12.75" customHeight="1" x14ac:dyDescent="0.2"/>
    <row r="65345" ht="12.75" customHeight="1" x14ac:dyDescent="0.2"/>
    <row r="65346" ht="12.75" customHeight="1" x14ac:dyDescent="0.2"/>
    <row r="65347" ht="12.75" customHeight="1" x14ac:dyDescent="0.2"/>
    <row r="65348" ht="12.75" customHeight="1" x14ac:dyDescent="0.2"/>
    <row r="65349" ht="12.75" customHeight="1" x14ac:dyDescent="0.2"/>
    <row r="65350" ht="12.75" customHeight="1" x14ac:dyDescent="0.2"/>
    <row r="65351" ht="12.75" customHeight="1" x14ac:dyDescent="0.2"/>
    <row r="65352" ht="12.75" customHeight="1" x14ac:dyDescent="0.2"/>
    <row r="65353" ht="12.75" customHeight="1" x14ac:dyDescent="0.2"/>
    <row r="65354" ht="12.75" customHeight="1" x14ac:dyDescent="0.2"/>
    <row r="65355" ht="12.75" customHeight="1" x14ac:dyDescent="0.2"/>
    <row r="65356" ht="12.75" customHeight="1" x14ac:dyDescent="0.2"/>
    <row r="65357" ht="12.75" customHeight="1" x14ac:dyDescent="0.2"/>
    <row r="65358" ht="12.75" customHeight="1" x14ac:dyDescent="0.2"/>
    <row r="65359" ht="12.75" customHeight="1" x14ac:dyDescent="0.2"/>
    <row r="65360" ht="12.75" customHeight="1" x14ac:dyDescent="0.2"/>
    <row r="65361" ht="12.75" customHeight="1" x14ac:dyDescent="0.2"/>
    <row r="65362" ht="12.75" customHeight="1" x14ac:dyDescent="0.2"/>
    <row r="65363" ht="12.75" customHeight="1" x14ac:dyDescent="0.2"/>
    <row r="65364" ht="12.75" customHeight="1" x14ac:dyDescent="0.2"/>
    <row r="65365" ht="12.75" customHeight="1" x14ac:dyDescent="0.2"/>
    <row r="65366" ht="12.75" customHeight="1" x14ac:dyDescent="0.2"/>
    <row r="65367" ht="12.75" customHeight="1" x14ac:dyDescent="0.2"/>
    <row r="65368" ht="12.75" customHeight="1" x14ac:dyDescent="0.2"/>
    <row r="65369" ht="12.75" customHeight="1" x14ac:dyDescent="0.2"/>
    <row r="65370" ht="12.75" customHeight="1" x14ac:dyDescent="0.2"/>
    <row r="65371" ht="12.75" customHeight="1" x14ac:dyDescent="0.2"/>
    <row r="65372" ht="12.75" customHeight="1" x14ac:dyDescent="0.2"/>
    <row r="65373" ht="12.75" customHeight="1" x14ac:dyDescent="0.2"/>
    <row r="65374" ht="12.75" customHeight="1" x14ac:dyDescent="0.2"/>
    <row r="65375" ht="12.75" customHeight="1" x14ac:dyDescent="0.2"/>
    <row r="65376" ht="12.75" customHeight="1" x14ac:dyDescent="0.2"/>
    <row r="65377" ht="12.75" customHeight="1" x14ac:dyDescent="0.2"/>
    <row r="65378" ht="12.75" customHeight="1" x14ac:dyDescent="0.2"/>
    <row r="65379" ht="12.75" customHeight="1" x14ac:dyDescent="0.2"/>
    <row r="65380" ht="12.75" customHeight="1" x14ac:dyDescent="0.2"/>
    <row r="65381" ht="12.75" customHeight="1" x14ac:dyDescent="0.2"/>
    <row r="65382" ht="12.75" customHeight="1" x14ac:dyDescent="0.2"/>
    <row r="65383" ht="12.75" customHeight="1" x14ac:dyDescent="0.2"/>
    <row r="65384" ht="12.75" customHeight="1" x14ac:dyDescent="0.2"/>
    <row r="65385" ht="12.75" customHeight="1" x14ac:dyDescent="0.2"/>
    <row r="65386" ht="12.75" customHeight="1" x14ac:dyDescent="0.2"/>
    <row r="65387" ht="12.75" customHeight="1" x14ac:dyDescent="0.2"/>
    <row r="65388" ht="12.75" customHeight="1" x14ac:dyDescent="0.2"/>
    <row r="65389" ht="12.75" customHeight="1" x14ac:dyDescent="0.2"/>
    <row r="65390" ht="12.75" customHeight="1" x14ac:dyDescent="0.2"/>
    <row r="65391" ht="12.75" customHeight="1" x14ac:dyDescent="0.2"/>
    <row r="65392" ht="12.75" customHeight="1" x14ac:dyDescent="0.2"/>
    <row r="65393" ht="12.75" customHeight="1" x14ac:dyDescent="0.2"/>
    <row r="65394" ht="12.75" customHeight="1" x14ac:dyDescent="0.2"/>
    <row r="65395" ht="12.75" customHeight="1" x14ac:dyDescent="0.2"/>
    <row r="65396" ht="12.75" customHeight="1" x14ac:dyDescent="0.2"/>
    <row r="65397" ht="12.75" customHeight="1" x14ac:dyDescent="0.2"/>
    <row r="65398" ht="12.75" customHeight="1" x14ac:dyDescent="0.2"/>
    <row r="65399" ht="12.75" customHeight="1" x14ac:dyDescent="0.2"/>
    <row r="65400" ht="12.75" customHeight="1" x14ac:dyDescent="0.2"/>
    <row r="65401" ht="12.75" customHeight="1" x14ac:dyDescent="0.2"/>
    <row r="65402" ht="12.75" customHeight="1" x14ac:dyDescent="0.2"/>
    <row r="65403" ht="12.75" customHeight="1" x14ac:dyDescent="0.2"/>
    <row r="65404" ht="12.75" customHeight="1" x14ac:dyDescent="0.2"/>
    <row r="65405" ht="12.75" customHeight="1" x14ac:dyDescent="0.2"/>
    <row r="65406" ht="12.75" customHeight="1" x14ac:dyDescent="0.2"/>
    <row r="65407" ht="12.75" customHeight="1" x14ac:dyDescent="0.2"/>
    <row r="65408" ht="12.75" customHeight="1" x14ac:dyDescent="0.2"/>
  </sheetData>
  <mergeCells count="14">
    <mergeCell ref="A1:X1"/>
    <mergeCell ref="A2:X2"/>
    <mergeCell ref="A3:X3"/>
    <mergeCell ref="A4:X4"/>
    <mergeCell ref="R6:S6"/>
    <mergeCell ref="T6:U6"/>
    <mergeCell ref="V6:W6"/>
    <mergeCell ref="D6:E6"/>
    <mergeCell ref="F6:I6"/>
    <mergeCell ref="N6:O6"/>
    <mergeCell ref="P6:Q6"/>
    <mergeCell ref="J6:M6"/>
    <mergeCell ref="A5:O5"/>
    <mergeCell ref="R5:U5"/>
  </mergeCells>
  <pageMargins left="0.78740157480314954" right="0.78740157480314954" top="1.1511811023622047" bottom="1.1511811023622047" header="0.78740157480314954" footer="0.78740157480314954"/>
  <pageSetup paperSize="9" fitToWidth="0" fitToHeight="0" orientation="portrait" r:id="rId1"/>
  <headerFooter alignWithMargins="0">
    <oddHeader>&amp;C&amp;"Times New Roman1,Regular"&amp;12&amp;A</oddHeader>
    <oddFooter>&amp;C&amp;"Times New Roman1,Regular"&amp;12Página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5533"/>
  <sheetViews>
    <sheetView showGridLines="0" topLeftCell="A4" workbookViewId="0">
      <selection activeCell="H6" sqref="H6:N23"/>
    </sheetView>
  </sheetViews>
  <sheetFormatPr defaultRowHeight="14.65" customHeight="1" x14ac:dyDescent="0.2"/>
  <cols>
    <col min="1" max="1" width="8.5" style="108" customWidth="1"/>
    <col min="2" max="2" width="41.75" style="108" customWidth="1"/>
    <col min="3" max="3" width="30" style="108" customWidth="1"/>
    <col min="4" max="6" width="9" style="108" customWidth="1"/>
    <col min="7" max="7" width="9.25" style="108" customWidth="1"/>
    <col min="8" max="8" width="9.75" style="108" customWidth="1"/>
    <col min="9" max="11" width="10.5" style="108" customWidth="1"/>
    <col min="12" max="12" width="9.375" style="108" customWidth="1"/>
    <col min="13" max="13" width="11.125" style="108" customWidth="1"/>
    <col min="14" max="15" width="9.375" style="108" customWidth="1"/>
    <col min="16" max="16" width="10.375" style="108" customWidth="1"/>
    <col min="17" max="17" width="9.375" style="108" customWidth="1"/>
    <col min="18" max="63" width="8.5" style="108" customWidth="1"/>
  </cols>
  <sheetData>
    <row r="1" spans="1:63" ht="24.4" customHeight="1" x14ac:dyDescent="0.2">
      <c r="A1" s="625" t="s">
        <v>475</v>
      </c>
      <c r="B1" s="625"/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5"/>
      <c r="N1" s="625"/>
      <c r="O1" s="172"/>
    </row>
    <row r="2" spans="1:63" ht="12.75" customHeight="1" x14ac:dyDescent="0.2">
      <c r="A2" s="628" t="s">
        <v>71</v>
      </c>
      <c r="B2" s="628"/>
      <c r="C2" s="628"/>
      <c r="D2" s="628"/>
      <c r="E2" s="628"/>
      <c r="F2" s="628"/>
      <c r="G2" s="628"/>
      <c r="H2" s="628"/>
      <c r="I2" s="628"/>
      <c r="J2" s="628"/>
      <c r="K2" s="628"/>
      <c r="L2" s="628"/>
      <c r="M2" s="628"/>
      <c r="N2" s="628"/>
      <c r="O2" s="172"/>
    </row>
    <row r="3" spans="1:63" ht="12.75" customHeight="1" x14ac:dyDescent="0.2">
      <c r="A3" s="643" t="s">
        <v>72</v>
      </c>
      <c r="B3" s="643"/>
      <c r="C3" s="643"/>
      <c r="D3" s="643"/>
      <c r="E3" s="643"/>
      <c r="F3" s="643"/>
      <c r="G3" s="643"/>
      <c r="H3" s="643"/>
      <c r="I3" s="643"/>
      <c r="J3" s="643"/>
      <c r="K3" s="643"/>
      <c r="L3" s="643"/>
      <c r="M3" s="643"/>
      <c r="N3" s="643"/>
      <c r="O3" s="172"/>
    </row>
    <row r="4" spans="1:63" ht="24" customHeight="1" x14ac:dyDescent="0.2">
      <c r="A4" s="630" t="s">
        <v>109</v>
      </c>
      <c r="B4" s="630"/>
      <c r="C4" s="630"/>
      <c r="D4" s="630"/>
      <c r="E4" s="630"/>
      <c r="F4" s="630"/>
      <c r="G4" s="630"/>
      <c r="H4" s="630"/>
      <c r="I4" s="630"/>
      <c r="J4" s="630"/>
      <c r="K4" s="630"/>
      <c r="L4" s="630"/>
      <c r="M4" s="630"/>
      <c r="N4" s="630"/>
      <c r="O4" s="172"/>
    </row>
    <row r="5" spans="1:63" ht="14.65" customHeight="1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5"/>
      <c r="L5" s="175"/>
      <c r="M5" s="175"/>
      <c r="N5" s="175"/>
      <c r="O5" s="172"/>
      <c r="P5" s="172"/>
      <c r="Q5" s="172"/>
    </row>
    <row r="6" spans="1:63" ht="14.65" customHeight="1" x14ac:dyDescent="0.2">
      <c r="A6" s="644" t="s">
        <v>82</v>
      </c>
      <c r="B6" s="644"/>
      <c r="C6" s="176"/>
      <c r="D6" s="176"/>
      <c r="E6" s="553" t="s">
        <v>110</v>
      </c>
      <c r="F6" s="646" t="s">
        <v>446</v>
      </c>
      <c r="G6" s="646"/>
      <c r="H6" s="645" t="s">
        <v>111</v>
      </c>
      <c r="I6" s="645"/>
      <c r="J6" s="645"/>
      <c r="K6" s="645"/>
      <c r="L6" s="645"/>
      <c r="M6" s="645"/>
      <c r="N6" s="645"/>
      <c r="O6" s="177"/>
      <c r="P6" s="177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</row>
    <row r="7" spans="1:63" ht="63" customHeight="1" x14ac:dyDescent="0.2">
      <c r="A7" s="178" t="s">
        <v>81</v>
      </c>
      <c r="B7" s="178" t="s">
        <v>112</v>
      </c>
      <c r="C7" s="178" t="s">
        <v>113</v>
      </c>
      <c r="D7" s="179" t="s">
        <v>83</v>
      </c>
      <c r="E7" s="180" t="s">
        <v>114</v>
      </c>
      <c r="F7" s="181" t="s">
        <v>115</v>
      </c>
      <c r="G7" s="181" t="s">
        <v>116</v>
      </c>
      <c r="H7" s="182" t="s">
        <v>447</v>
      </c>
      <c r="I7" s="182" t="s">
        <v>117</v>
      </c>
      <c r="J7" s="182" t="s">
        <v>118</v>
      </c>
      <c r="K7" s="182" t="s">
        <v>119</v>
      </c>
      <c r="L7" s="182" t="s">
        <v>120</v>
      </c>
      <c r="M7" s="182" t="s">
        <v>121</v>
      </c>
      <c r="N7" s="182" t="s">
        <v>122</v>
      </c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</row>
    <row r="8" spans="1:63" ht="15.75" customHeight="1" x14ac:dyDescent="0.2">
      <c r="A8" s="183">
        <v>1</v>
      </c>
      <c r="B8" s="184" t="s">
        <v>94</v>
      </c>
      <c r="C8" s="185" t="s">
        <v>123</v>
      </c>
      <c r="D8" s="67">
        <v>0.05</v>
      </c>
      <c r="E8" s="186">
        <v>2</v>
      </c>
      <c r="F8" s="187">
        <v>2</v>
      </c>
      <c r="G8" s="188">
        <v>2000</v>
      </c>
      <c r="H8" s="189">
        <v>2</v>
      </c>
      <c r="I8" s="189">
        <v>700</v>
      </c>
      <c r="J8" s="189">
        <f>(L$26*E8)+(M$26)</f>
        <v>22</v>
      </c>
      <c r="K8" s="189">
        <f>(L$27*E8)+(M$27)</f>
        <v>12</v>
      </c>
      <c r="L8" s="189">
        <f>(L$28*E8)</f>
        <v>40</v>
      </c>
      <c r="M8" s="189">
        <f>(M$28*H8)</f>
        <v>4</v>
      </c>
      <c r="N8" s="189">
        <f>(L$29*F8)+(M$29*H8)</f>
        <v>48</v>
      </c>
    </row>
    <row r="9" spans="1:63" ht="15.75" customHeight="1" x14ac:dyDescent="0.2">
      <c r="A9" s="183">
        <v>2</v>
      </c>
      <c r="B9" s="184" t="s">
        <v>97</v>
      </c>
      <c r="C9" s="185" t="s">
        <v>125</v>
      </c>
      <c r="D9" s="67">
        <v>0.05</v>
      </c>
      <c r="E9" s="186">
        <v>1</v>
      </c>
      <c r="F9" s="187">
        <v>2</v>
      </c>
      <c r="G9" s="188">
        <v>1000</v>
      </c>
      <c r="H9" s="189">
        <v>2</v>
      </c>
      <c r="I9" s="189">
        <v>700</v>
      </c>
      <c r="J9" s="189">
        <f>(L$26*E9)+(M$26)</f>
        <v>12</v>
      </c>
      <c r="K9" s="189">
        <f>(L$27*E9)+(M$27)</f>
        <v>7</v>
      </c>
      <c r="L9" s="189">
        <f>(L$28*E9)</f>
        <v>20</v>
      </c>
      <c r="M9" s="189">
        <f t="shared" ref="M9:M10" si="0">(M$28*H9)</f>
        <v>4</v>
      </c>
      <c r="N9" s="189">
        <f>(L$29*F9)+(M$29*H9)</f>
        <v>48</v>
      </c>
    </row>
    <row r="10" spans="1:63" ht="15.75" customHeight="1" x14ac:dyDescent="0.2">
      <c r="A10" s="183">
        <v>3</v>
      </c>
      <c r="B10" s="184" t="s">
        <v>96</v>
      </c>
      <c r="C10" s="185" t="s">
        <v>124</v>
      </c>
      <c r="D10" s="67">
        <v>0.03</v>
      </c>
      <c r="E10" s="186">
        <v>1</v>
      </c>
      <c r="F10" s="187">
        <v>2</v>
      </c>
      <c r="G10" s="188">
        <v>1500</v>
      </c>
      <c r="H10" s="189">
        <v>2</v>
      </c>
      <c r="I10" s="189">
        <v>700</v>
      </c>
      <c r="J10" s="189">
        <f>(L$26*E10)+(M$26)</f>
        <v>12</v>
      </c>
      <c r="K10" s="189">
        <f>(L$27*E10)+(M$27)</f>
        <v>7</v>
      </c>
      <c r="L10" s="189">
        <f>(L$28*E10)</f>
        <v>20</v>
      </c>
      <c r="M10" s="189">
        <f t="shared" si="0"/>
        <v>4</v>
      </c>
      <c r="N10" s="189">
        <f>(L$29*F10)+(M$29*H10)</f>
        <v>48</v>
      </c>
    </row>
    <row r="11" spans="1:63" ht="15.75" customHeight="1" x14ac:dyDescent="0.2">
      <c r="A11" s="191" t="s">
        <v>127</v>
      </c>
      <c r="B11" s="90" t="s">
        <v>442</v>
      </c>
      <c r="C11" s="192"/>
      <c r="D11" s="90"/>
      <c r="E11" s="193">
        <f>SUM(E8:E10)</f>
        <v>4</v>
      </c>
      <c r="F11" s="193">
        <f>SUM(F8:F10)</f>
        <v>6</v>
      </c>
      <c r="G11" s="193">
        <f>(F8*G8)+(F9*G9)+(F10*G10)</f>
        <v>9000</v>
      </c>
      <c r="H11" s="193">
        <f>SUM(H8:H10)</f>
        <v>6</v>
      </c>
      <c r="I11" s="193">
        <f>SUM(H8*I8)+(H9*I9)+(H10*I10)</f>
        <v>4200</v>
      </c>
      <c r="J11" s="193">
        <f>SUM(J8:J10)</f>
        <v>46</v>
      </c>
      <c r="K11" s="193">
        <f>SUM(K8:K10)</f>
        <v>26</v>
      </c>
      <c r="L11" s="193">
        <f>SUM(L8:L10)</f>
        <v>80</v>
      </c>
      <c r="M11" s="193">
        <f>SUM(M8:M10)</f>
        <v>12</v>
      </c>
      <c r="N11" s="193">
        <f>SUM(N8:N10)</f>
        <v>144</v>
      </c>
    </row>
    <row r="12" spans="1:63" ht="15.75" customHeight="1" x14ac:dyDescent="0.2">
      <c r="A12" s="500">
        <v>4</v>
      </c>
      <c r="B12" s="501" t="s">
        <v>95</v>
      </c>
      <c r="C12" s="502" t="s">
        <v>441</v>
      </c>
      <c r="D12" s="67">
        <v>0.05</v>
      </c>
      <c r="E12" s="186">
        <v>2</v>
      </c>
      <c r="F12" s="187">
        <v>2</v>
      </c>
      <c r="G12" s="188">
        <v>1500</v>
      </c>
      <c r="H12" s="189">
        <v>2</v>
      </c>
      <c r="I12" s="189">
        <v>700</v>
      </c>
      <c r="J12" s="189">
        <f>(L$26*E12)+(M$26)</f>
        <v>22</v>
      </c>
      <c r="K12" s="189">
        <f>(L$27*E12)+(M$27)</f>
        <v>12</v>
      </c>
      <c r="L12" s="189">
        <f>(L$28*E12)</f>
        <v>40</v>
      </c>
      <c r="M12" s="189">
        <f>(M$28*H12)</f>
        <v>4</v>
      </c>
      <c r="N12" s="189">
        <f>(L$29*F12)+(M$29*H12)</f>
        <v>48</v>
      </c>
    </row>
    <row r="13" spans="1:63" ht="15.75" customHeight="1" x14ac:dyDescent="0.2">
      <c r="A13" s="500">
        <v>5</v>
      </c>
      <c r="B13" s="501" t="s">
        <v>98</v>
      </c>
      <c r="C13" s="502" t="s">
        <v>126</v>
      </c>
      <c r="D13" s="67">
        <v>0.05</v>
      </c>
      <c r="E13" s="190">
        <v>1</v>
      </c>
      <c r="F13" s="188">
        <v>1</v>
      </c>
      <c r="G13" s="188">
        <v>3000</v>
      </c>
      <c r="H13" s="189">
        <v>2</v>
      </c>
      <c r="I13" s="189">
        <v>700</v>
      </c>
      <c r="J13" s="189">
        <f>(L$26*E13)+(M$26)</f>
        <v>12</v>
      </c>
      <c r="K13" s="189">
        <f>(L$27*E13)+(M$27)</f>
        <v>7</v>
      </c>
      <c r="L13" s="189">
        <f>(L$28*E13)</f>
        <v>20</v>
      </c>
      <c r="M13" s="189">
        <f>(M$28*H13)</f>
        <v>4</v>
      </c>
      <c r="N13" s="189">
        <f>(L$29*F13)+(M$29*H13)</f>
        <v>26</v>
      </c>
    </row>
    <row r="14" spans="1:63" ht="15.75" customHeight="1" x14ac:dyDescent="0.2">
      <c r="A14" s="191" t="s">
        <v>127</v>
      </c>
      <c r="B14" s="90" t="s">
        <v>443</v>
      </c>
      <c r="C14" s="192"/>
      <c r="D14" s="90"/>
      <c r="E14" s="193">
        <f>SUM(E12:E13)</f>
        <v>3</v>
      </c>
      <c r="F14" s="193">
        <f>SUM(F12:F13)</f>
        <v>3</v>
      </c>
      <c r="G14" s="193">
        <f>SUM(F12*G12)+(F13*G13)</f>
        <v>6000</v>
      </c>
      <c r="H14" s="193">
        <f>SUM(H12:H13)</f>
        <v>4</v>
      </c>
      <c r="I14" s="193">
        <f>SUM(H12*I12)+(H13*I13)</f>
        <v>2800</v>
      </c>
      <c r="J14" s="193">
        <f>SUM(J12:J13)</f>
        <v>34</v>
      </c>
      <c r="K14" s="193">
        <f>SUM(K12:K13)</f>
        <v>19</v>
      </c>
      <c r="L14" s="193">
        <f>SUM(L12:L13)</f>
        <v>60</v>
      </c>
      <c r="M14" s="193">
        <f>SUM(M12:M13)</f>
        <v>8</v>
      </c>
      <c r="N14" s="193">
        <f>SUM(N12:N13)</f>
        <v>74</v>
      </c>
    </row>
    <row r="15" spans="1:63" ht="16.350000000000001" customHeight="1" x14ac:dyDescent="0.2">
      <c r="A15" s="194">
        <v>6</v>
      </c>
      <c r="B15" s="195" t="s">
        <v>99</v>
      </c>
      <c r="C15" s="196" t="s">
        <v>128</v>
      </c>
      <c r="D15" s="67">
        <v>0.05</v>
      </c>
      <c r="E15" s="190">
        <v>2</v>
      </c>
      <c r="F15" s="188">
        <v>2</v>
      </c>
      <c r="G15" s="188">
        <v>1500</v>
      </c>
      <c r="H15" s="189">
        <v>2</v>
      </c>
      <c r="I15" s="189">
        <v>700</v>
      </c>
      <c r="J15" s="189">
        <f>(L$26*E15)+(M$26)</f>
        <v>22</v>
      </c>
      <c r="K15" s="189">
        <f>(L$27*E15)+(M$27)</f>
        <v>12</v>
      </c>
      <c r="L15" s="189">
        <f>(L$28*E15)</f>
        <v>40</v>
      </c>
      <c r="M15" s="189">
        <f>(M$28*H15)</f>
        <v>4</v>
      </c>
      <c r="N15" s="189">
        <f t="shared" ref="N15:N22" si="1">(L$29*F15)+(M$29*H15)</f>
        <v>48</v>
      </c>
    </row>
    <row r="16" spans="1:63" ht="15.75" customHeight="1" x14ac:dyDescent="0.2">
      <c r="A16" s="194">
        <v>7</v>
      </c>
      <c r="B16" s="195" t="s">
        <v>100</v>
      </c>
      <c r="C16" s="196" t="s">
        <v>129</v>
      </c>
      <c r="D16" s="67">
        <v>0.02</v>
      </c>
      <c r="E16" s="190">
        <v>1</v>
      </c>
      <c r="F16" s="188">
        <v>1</v>
      </c>
      <c r="G16" s="188">
        <v>1000</v>
      </c>
      <c r="H16" s="189">
        <v>2</v>
      </c>
      <c r="I16" s="189">
        <v>700</v>
      </c>
      <c r="J16" s="189">
        <f>(L$26*E16)+(M$26)</f>
        <v>12</v>
      </c>
      <c r="K16" s="189">
        <f>(L$27*E16)+(M$27)</f>
        <v>7</v>
      </c>
      <c r="L16" s="189">
        <f>(L$28*E16)</f>
        <v>20</v>
      </c>
      <c r="M16" s="189">
        <f t="shared" ref="M16:M17" si="2">(M$28*H16)</f>
        <v>4</v>
      </c>
      <c r="N16" s="189">
        <f t="shared" si="1"/>
        <v>26</v>
      </c>
    </row>
    <row r="17" spans="1:16" ht="15.75" customHeight="1" x14ac:dyDescent="0.2">
      <c r="A17" s="194">
        <v>8</v>
      </c>
      <c r="B17" s="195" t="s">
        <v>101</v>
      </c>
      <c r="C17" s="196" t="s">
        <v>130</v>
      </c>
      <c r="D17" s="67">
        <v>3.5000000000000003E-2</v>
      </c>
      <c r="E17" s="190">
        <v>1</v>
      </c>
      <c r="F17" s="188">
        <v>1</v>
      </c>
      <c r="G17" s="188">
        <v>2000</v>
      </c>
      <c r="H17" s="189">
        <v>2</v>
      </c>
      <c r="I17" s="189">
        <v>700</v>
      </c>
      <c r="J17" s="189">
        <f>(L$26*E17)+(M$26)</f>
        <v>12</v>
      </c>
      <c r="K17" s="189">
        <f>(L$27*E17)+(M$27)</f>
        <v>7</v>
      </c>
      <c r="L17" s="189">
        <f>(L$28*E17)</f>
        <v>20</v>
      </c>
      <c r="M17" s="189">
        <f t="shared" si="2"/>
        <v>4</v>
      </c>
      <c r="N17" s="189">
        <f t="shared" si="1"/>
        <v>26</v>
      </c>
    </row>
    <row r="18" spans="1:16" ht="15.75" customHeight="1" x14ac:dyDescent="0.2">
      <c r="A18" s="191" t="s">
        <v>127</v>
      </c>
      <c r="B18" s="90" t="s">
        <v>444</v>
      </c>
      <c r="C18" s="90"/>
      <c r="D18" s="90"/>
      <c r="E18" s="193">
        <f>SUM(E15:E17)</f>
        <v>4</v>
      </c>
      <c r="F18" s="193">
        <f>SUM(F15:F17)</f>
        <v>4</v>
      </c>
      <c r="G18" s="193">
        <f>SUM(F15*G15)+(F16*G16)+(F17*G17)</f>
        <v>6000</v>
      </c>
      <c r="H18" s="193">
        <f>SUM(H15:H17)</f>
        <v>6</v>
      </c>
      <c r="I18" s="193">
        <f>SUM(H15*I15)+(H16*I16)+(H17*I17)</f>
        <v>4200</v>
      </c>
      <c r="J18" s="193">
        <f>SUM(J15:J17)</f>
        <v>46</v>
      </c>
      <c r="K18" s="193">
        <f>SUM(K15:K17)</f>
        <v>26</v>
      </c>
      <c r="L18" s="193">
        <f>SUM(L15:L17)</f>
        <v>80</v>
      </c>
      <c r="M18" s="193">
        <f>SUM(M15:M17)</f>
        <v>12</v>
      </c>
      <c r="N18" s="193">
        <f>SUM(N15:N17)</f>
        <v>100</v>
      </c>
    </row>
    <row r="19" spans="1:16" ht="15.75" customHeight="1" x14ac:dyDescent="0.2">
      <c r="A19" s="526">
        <v>9</v>
      </c>
      <c r="B19" s="527" t="s">
        <v>102</v>
      </c>
      <c r="C19" s="528" t="s">
        <v>131</v>
      </c>
      <c r="D19" s="67">
        <v>0.02</v>
      </c>
      <c r="E19" s="190">
        <v>0</v>
      </c>
      <c r="F19" s="188">
        <v>1</v>
      </c>
      <c r="G19" s="188">
        <v>1500</v>
      </c>
      <c r="H19" s="189">
        <v>2</v>
      </c>
      <c r="I19" s="189">
        <v>700</v>
      </c>
      <c r="J19" s="189">
        <f>(L$26*E19)+(M$26)</f>
        <v>2</v>
      </c>
      <c r="K19" s="189">
        <f>(L$27*E19)+(M$27)</f>
        <v>2</v>
      </c>
      <c r="L19" s="189">
        <f>(L$28*E19)</f>
        <v>0</v>
      </c>
      <c r="M19" s="189">
        <f>(M$28*H19)</f>
        <v>4</v>
      </c>
      <c r="N19" s="189">
        <f t="shared" si="1"/>
        <v>26</v>
      </c>
    </row>
    <row r="20" spans="1:16" ht="15.75" customHeight="1" x14ac:dyDescent="0.2">
      <c r="A20" s="526">
        <v>10</v>
      </c>
      <c r="B20" s="527" t="s">
        <v>103</v>
      </c>
      <c r="C20" s="528" t="s">
        <v>132</v>
      </c>
      <c r="D20" s="67">
        <v>0.03</v>
      </c>
      <c r="E20" s="190">
        <v>1</v>
      </c>
      <c r="F20" s="188">
        <v>1</v>
      </c>
      <c r="G20" s="188">
        <v>2000</v>
      </c>
      <c r="H20" s="189">
        <v>2</v>
      </c>
      <c r="I20" s="189">
        <v>700</v>
      </c>
      <c r="J20" s="189">
        <f>(L$26*E20)+(M$26)</f>
        <v>12</v>
      </c>
      <c r="K20" s="189">
        <f>(L$27*E20)+(M$27)</f>
        <v>7</v>
      </c>
      <c r="L20" s="189">
        <f>(L$28*E20)</f>
        <v>20</v>
      </c>
      <c r="M20" s="189">
        <f t="shared" ref="M20:M22" si="3">(M$28*H20)</f>
        <v>4</v>
      </c>
      <c r="N20" s="189">
        <f t="shared" si="1"/>
        <v>26</v>
      </c>
    </row>
    <row r="21" spans="1:16" ht="15.75" customHeight="1" x14ac:dyDescent="0.2">
      <c r="A21" s="526">
        <v>11</v>
      </c>
      <c r="B21" s="527" t="s">
        <v>104</v>
      </c>
      <c r="C21" s="528" t="s">
        <v>133</v>
      </c>
      <c r="D21" s="67">
        <v>0.04</v>
      </c>
      <c r="E21" s="190">
        <v>2</v>
      </c>
      <c r="F21" s="188">
        <v>2</v>
      </c>
      <c r="G21" s="188">
        <v>3000</v>
      </c>
      <c r="H21" s="189">
        <v>2</v>
      </c>
      <c r="I21" s="189">
        <v>700</v>
      </c>
      <c r="J21" s="189">
        <f>(L$26*E21)+(M$26)</f>
        <v>22</v>
      </c>
      <c r="K21" s="189">
        <f>(L$27*E21)+(M$27)</f>
        <v>12</v>
      </c>
      <c r="L21" s="189">
        <f>(L$28*E21)</f>
        <v>40</v>
      </c>
      <c r="M21" s="189">
        <f t="shared" si="3"/>
        <v>4</v>
      </c>
      <c r="N21" s="189">
        <f t="shared" si="1"/>
        <v>48</v>
      </c>
    </row>
    <row r="22" spans="1:16" ht="15.75" customHeight="1" x14ac:dyDescent="0.2">
      <c r="A22" s="526">
        <v>12</v>
      </c>
      <c r="B22" s="527" t="s">
        <v>105</v>
      </c>
      <c r="C22" s="528" t="s">
        <v>134</v>
      </c>
      <c r="D22" s="67">
        <v>0.02</v>
      </c>
      <c r="E22" s="190">
        <v>1</v>
      </c>
      <c r="F22" s="188">
        <v>1</v>
      </c>
      <c r="G22" s="188">
        <v>2500</v>
      </c>
      <c r="H22" s="189">
        <v>2</v>
      </c>
      <c r="I22" s="189">
        <v>700</v>
      </c>
      <c r="J22" s="189">
        <f>(L$26*E22)+(M$26)</f>
        <v>12</v>
      </c>
      <c r="K22" s="189">
        <f>(L$27*E22)+(M$27)</f>
        <v>7</v>
      </c>
      <c r="L22" s="189">
        <f>(L$28*E22)</f>
        <v>20</v>
      </c>
      <c r="M22" s="189">
        <f t="shared" si="3"/>
        <v>4</v>
      </c>
      <c r="N22" s="189">
        <f t="shared" si="1"/>
        <v>26</v>
      </c>
    </row>
    <row r="23" spans="1:16" ht="15.75" customHeight="1" x14ac:dyDescent="0.2">
      <c r="A23" s="191" t="s">
        <v>127</v>
      </c>
      <c r="B23" s="90" t="s">
        <v>445</v>
      </c>
      <c r="C23" s="90"/>
      <c r="D23" s="90"/>
      <c r="E23" s="193">
        <f>SUM(E19:E22)</f>
        <v>4</v>
      </c>
      <c r="F23" s="193">
        <f>SUM(F19:F22)</f>
        <v>5</v>
      </c>
      <c r="G23" s="193">
        <f>(F19*G19)+(F20*G20)+(F21*G21)+(F22*G22)</f>
        <v>12000</v>
      </c>
      <c r="H23" s="193">
        <f>SUM(H19:H22)</f>
        <v>8</v>
      </c>
      <c r="I23" s="193">
        <f>SUM(H19*I19)+(H20*I20)+(H21*I21)+(H22*I22)</f>
        <v>5600</v>
      </c>
      <c r="J23" s="193">
        <f>SUM(J19:J22)</f>
        <v>48</v>
      </c>
      <c r="K23" s="193">
        <f>SUM(K19:K22)</f>
        <v>28</v>
      </c>
      <c r="L23" s="193">
        <f>SUM(L19:L22)</f>
        <v>80</v>
      </c>
      <c r="M23" s="193">
        <f>SUM(M19:M22)</f>
        <v>16</v>
      </c>
      <c r="N23" s="193">
        <f>SUM(N19:N22)</f>
        <v>126</v>
      </c>
      <c r="O23" s="197"/>
      <c r="P23" s="198"/>
    </row>
    <row r="24" spans="1:16" ht="14.65" customHeight="1" x14ac:dyDescent="0.2">
      <c r="A24" s="199"/>
      <c r="E24" s="200"/>
      <c r="F24" s="200"/>
      <c r="G24" s="197"/>
      <c r="H24" s="197"/>
      <c r="I24" s="197"/>
      <c r="J24" s="197"/>
      <c r="K24" s="197"/>
      <c r="L24" s="197"/>
      <c r="M24" s="201"/>
      <c r="N24" s="201"/>
      <c r="O24" s="197"/>
    </row>
    <row r="25" spans="1:16" ht="14.65" customHeight="1" x14ac:dyDescent="0.2">
      <c r="K25" s="557" t="s">
        <v>135</v>
      </c>
      <c r="L25" s="558" t="s">
        <v>136</v>
      </c>
      <c r="M25" s="558" t="s">
        <v>448</v>
      </c>
    </row>
    <row r="26" spans="1:16" ht="14.65" customHeight="1" x14ac:dyDescent="0.2">
      <c r="E26" s="466"/>
      <c r="F26" s="466"/>
      <c r="K26" s="559" t="s">
        <v>137</v>
      </c>
      <c r="L26" s="560">
        <v>10</v>
      </c>
      <c r="M26" s="560">
        <v>2</v>
      </c>
    </row>
    <row r="27" spans="1:16" ht="14.65" customHeight="1" x14ac:dyDescent="0.2">
      <c r="K27" s="559" t="s">
        <v>138</v>
      </c>
      <c r="L27" s="561">
        <v>5</v>
      </c>
      <c r="M27" s="561">
        <v>2</v>
      </c>
    </row>
    <row r="28" spans="1:16" ht="14.65" customHeight="1" x14ac:dyDescent="0.2">
      <c r="K28" s="559" t="s">
        <v>139</v>
      </c>
      <c r="L28" s="560">
        <v>20</v>
      </c>
      <c r="M28" s="560">
        <v>2</v>
      </c>
    </row>
    <row r="29" spans="1:16" ht="14.65" customHeight="1" x14ac:dyDescent="0.2">
      <c r="K29" s="559" t="s">
        <v>15</v>
      </c>
      <c r="L29" s="561">
        <v>22</v>
      </c>
      <c r="M29" s="561">
        <v>2</v>
      </c>
    </row>
    <row r="49" spans="9:9" ht="14.65" customHeight="1" x14ac:dyDescent="0.2">
      <c r="I49" s="108">
        <v>0</v>
      </c>
    </row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</sheetData>
  <mergeCells count="7">
    <mergeCell ref="A1:N1"/>
    <mergeCell ref="A2:N2"/>
    <mergeCell ref="A3:N3"/>
    <mergeCell ref="A4:N4"/>
    <mergeCell ref="A6:B6"/>
    <mergeCell ref="H6:N6"/>
    <mergeCell ref="F6:G6"/>
  </mergeCells>
  <pageMargins left="0.78740157480314954" right="0.78740157480314954" top="1.1511811023622047" bottom="1.1511811023622047" header="0.78740157480314954" footer="0.78740157480314954"/>
  <pageSetup paperSize="9" fitToWidth="0" fitToHeight="0" orientation="portrait" r:id="rId1"/>
  <headerFooter alignWithMargins="0">
    <oddHeader>&amp;C&amp;"Times New Roman1,Regular"&amp;12&amp;A</oddHeader>
    <oddFooter>&amp;C&amp;"Times New Roman1,Regular"&amp;12Página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5"/>
  <sheetViews>
    <sheetView topLeftCell="A106" workbookViewId="0">
      <selection activeCell="H17" sqref="H17"/>
    </sheetView>
  </sheetViews>
  <sheetFormatPr defaultRowHeight="12.75" customHeight="1" x14ac:dyDescent="0.2"/>
  <cols>
    <col min="1" max="1" width="63.5" style="203" customWidth="1"/>
    <col min="2" max="2" width="18.625" style="203" customWidth="1"/>
    <col min="3" max="3" width="17.75" style="203" customWidth="1"/>
    <col min="4" max="4" width="17.875" style="203" customWidth="1"/>
    <col min="5" max="25" width="8.625" style="203" customWidth="1"/>
    <col min="26" max="64" width="8.625" style="204" customWidth="1"/>
  </cols>
  <sheetData>
    <row r="1" spans="1:4" ht="19.350000000000001" customHeight="1" x14ac:dyDescent="0.2">
      <c r="A1" s="649" t="s">
        <v>475</v>
      </c>
      <c r="B1" s="649"/>
      <c r="C1" s="649"/>
      <c r="D1" s="649"/>
    </row>
    <row r="2" spans="1:4" ht="14.65" customHeight="1" x14ac:dyDescent="0.2">
      <c r="A2" s="650" t="s">
        <v>71</v>
      </c>
      <c r="B2" s="651"/>
      <c r="C2" s="651"/>
      <c r="D2" s="652"/>
    </row>
    <row r="3" spans="1:4" ht="14.65" customHeight="1" x14ac:dyDescent="0.2">
      <c r="A3" s="653" t="s">
        <v>72</v>
      </c>
      <c r="B3" s="654"/>
      <c r="C3" s="654"/>
      <c r="D3" s="655"/>
    </row>
    <row r="4" spans="1:4" ht="24.4" customHeight="1" x14ac:dyDescent="0.2">
      <c r="A4" s="630" t="s">
        <v>140</v>
      </c>
      <c r="B4" s="631"/>
      <c r="C4" s="631"/>
      <c r="D4" s="632"/>
    </row>
    <row r="5" spans="1:4" ht="14.65" customHeight="1" x14ac:dyDescent="0.2">
      <c r="A5" s="173"/>
      <c r="B5" s="173"/>
      <c r="C5" s="173"/>
      <c r="D5" s="173"/>
    </row>
    <row r="6" spans="1:4" ht="17.100000000000001" customHeight="1" x14ac:dyDescent="0.2">
      <c r="A6" s="648" t="s">
        <v>141</v>
      </c>
      <c r="B6" s="648"/>
      <c r="C6" s="648"/>
      <c r="D6" s="648"/>
    </row>
    <row r="7" spans="1:4" ht="15.75" customHeight="1" x14ac:dyDescent="0.2">
      <c r="A7" s="205"/>
      <c r="B7" s="206" t="s">
        <v>142</v>
      </c>
      <c r="C7" s="207">
        <v>2202.4</v>
      </c>
      <c r="D7" s="207">
        <v>2202.4</v>
      </c>
    </row>
    <row r="8" spans="1:4" ht="14.65" customHeight="1" x14ac:dyDescent="0.2">
      <c r="A8" s="208"/>
      <c r="B8" s="209" t="s">
        <v>143</v>
      </c>
      <c r="C8" s="210">
        <v>44774</v>
      </c>
      <c r="D8" s="210">
        <f>C8</f>
        <v>44774</v>
      </c>
    </row>
    <row r="9" spans="1:4" ht="14.65" customHeight="1" x14ac:dyDescent="0.2">
      <c r="A9" s="211" t="s">
        <v>438</v>
      </c>
      <c r="B9" s="209" t="s">
        <v>144</v>
      </c>
      <c r="C9" s="212" t="s">
        <v>145</v>
      </c>
      <c r="D9" s="212" t="str">
        <f>C9</f>
        <v>PR002526/2022</v>
      </c>
    </row>
    <row r="10" spans="1:4" ht="14.65" customHeight="1" x14ac:dyDescent="0.2">
      <c r="A10" s="213"/>
      <c r="B10" s="214" t="s">
        <v>146</v>
      </c>
      <c r="C10" s="215" t="s">
        <v>147</v>
      </c>
      <c r="D10" s="215" t="s">
        <v>148</v>
      </c>
    </row>
    <row r="11" spans="1:4" ht="12.75" customHeight="1" x14ac:dyDescent="0.2">
      <c r="A11" s="216"/>
      <c r="B11" s="217"/>
      <c r="C11" s="218"/>
      <c r="D11" s="218"/>
    </row>
    <row r="12" spans="1:4" ht="45" customHeight="1" x14ac:dyDescent="0.2">
      <c r="A12" s="219" t="s">
        <v>149</v>
      </c>
      <c r="B12" s="220" t="s">
        <v>150</v>
      </c>
      <c r="C12" s="220" t="s">
        <v>151</v>
      </c>
      <c r="D12" s="220" t="s">
        <v>152</v>
      </c>
    </row>
    <row r="13" spans="1:4" ht="16.5" customHeight="1" x14ac:dyDescent="0.2">
      <c r="A13" s="647" t="s">
        <v>153</v>
      </c>
      <c r="B13" s="647"/>
      <c r="C13" s="647"/>
      <c r="D13" s="647"/>
    </row>
    <row r="14" spans="1:4" ht="15.75" customHeight="1" x14ac:dyDescent="0.2">
      <c r="A14" s="221" t="s">
        <v>154</v>
      </c>
      <c r="B14" s="222" t="s">
        <v>155</v>
      </c>
      <c r="C14" s="223" t="s">
        <v>156</v>
      </c>
      <c r="D14" s="223" t="s">
        <v>156</v>
      </c>
    </row>
    <row r="15" spans="1:4" ht="15.75" customHeight="1" x14ac:dyDescent="0.25">
      <c r="A15" s="224" t="s">
        <v>157</v>
      </c>
      <c r="B15" s="225"/>
      <c r="C15" s="226">
        <f>C7</f>
        <v>2202.4</v>
      </c>
      <c r="D15" s="226">
        <f>D7</f>
        <v>2202.4</v>
      </c>
    </row>
    <row r="16" spans="1:4" ht="15.75" customHeight="1" x14ac:dyDescent="0.25">
      <c r="A16" s="224" t="s">
        <v>158</v>
      </c>
      <c r="B16" s="227"/>
      <c r="C16" s="228">
        <v>0</v>
      </c>
      <c r="D16" s="228">
        <v>0</v>
      </c>
    </row>
    <row r="17" spans="1:64" ht="15.75" customHeight="1" x14ac:dyDescent="0.25">
      <c r="A17" s="224" t="s">
        <v>159</v>
      </c>
      <c r="B17" s="229"/>
      <c r="C17" s="226">
        <v>0</v>
      </c>
      <c r="D17" s="226">
        <v>0</v>
      </c>
    </row>
    <row r="18" spans="1:64" ht="15.75" customHeight="1" x14ac:dyDescent="0.25">
      <c r="A18" s="230" t="s">
        <v>160</v>
      </c>
      <c r="B18" s="227"/>
      <c r="C18" s="231"/>
      <c r="D18" s="231"/>
    </row>
    <row r="19" spans="1:64" ht="15.75" customHeight="1" x14ac:dyDescent="0.25">
      <c r="A19" s="224" t="s">
        <v>161</v>
      </c>
      <c r="B19" s="229"/>
      <c r="C19" s="226"/>
      <c r="D19" s="226"/>
    </row>
    <row r="20" spans="1:64" ht="15.75" customHeight="1" x14ac:dyDescent="0.25">
      <c r="A20" s="230" t="s">
        <v>162</v>
      </c>
      <c r="B20" s="227"/>
      <c r="C20" s="231"/>
      <c r="D20" s="231"/>
    </row>
    <row r="21" spans="1:64" ht="15.75" customHeight="1" x14ac:dyDescent="0.25">
      <c r="A21" s="224" t="s">
        <v>163</v>
      </c>
      <c r="B21" s="232"/>
      <c r="C21" s="226"/>
      <c r="D21" s="226"/>
    </row>
    <row r="22" spans="1:64" ht="15.75" customHeight="1" x14ac:dyDescent="0.2">
      <c r="A22" s="233" t="s">
        <v>164</v>
      </c>
      <c r="B22" s="234"/>
      <c r="C22" s="235">
        <f>SUM(C15:C21)</f>
        <v>2202.4</v>
      </c>
      <c r="D22" s="235">
        <f>SUM(D15:D21)</f>
        <v>2202.4</v>
      </c>
    </row>
    <row r="23" spans="1:64" ht="15.75" customHeight="1" x14ac:dyDescent="0.2">
      <c r="A23" s="236"/>
      <c r="B23" s="237"/>
      <c r="C23" s="238"/>
      <c r="D23" s="238"/>
    </row>
    <row r="24" spans="1:64" ht="16.149999999999999" customHeight="1" x14ac:dyDescent="0.2">
      <c r="A24" s="647" t="s">
        <v>165</v>
      </c>
      <c r="B24" s="647"/>
      <c r="C24" s="647"/>
      <c r="D24" s="647"/>
    </row>
    <row r="25" spans="1:64" ht="15.75" customHeight="1" x14ac:dyDescent="0.2">
      <c r="A25" s="239" t="s">
        <v>166</v>
      </c>
      <c r="B25" s="240" t="s">
        <v>167</v>
      </c>
      <c r="C25" s="240" t="s">
        <v>156</v>
      </c>
      <c r="D25" s="240" t="s">
        <v>156</v>
      </c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  <c r="BI25" s="216"/>
      <c r="BJ25" s="216"/>
      <c r="BK25" s="216"/>
      <c r="BL25" s="216"/>
    </row>
    <row r="26" spans="1:64" ht="15.75" customHeight="1" x14ac:dyDescent="0.2">
      <c r="A26" s="241" t="s">
        <v>168</v>
      </c>
      <c r="B26" s="242">
        <f>1/12</f>
        <v>8.3333333333333329E-2</v>
      </c>
      <c r="C26" s="243">
        <f>$B26*C15</f>
        <v>183.53333333333333</v>
      </c>
      <c r="D26" s="243">
        <f>$B26*D15</f>
        <v>183.53333333333333</v>
      </c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  <c r="BI26" s="216"/>
      <c r="BJ26" s="216"/>
      <c r="BK26" s="216"/>
      <c r="BL26" s="216"/>
    </row>
    <row r="27" spans="1:64" ht="15.75" customHeight="1" x14ac:dyDescent="0.2">
      <c r="A27" s="224" t="s">
        <v>169</v>
      </c>
      <c r="B27" s="244">
        <f>1/3*1/12</f>
        <v>2.7777777777777776E-2</v>
      </c>
      <c r="C27" s="245">
        <f>C15*$B27</f>
        <v>61.177777777777777</v>
      </c>
      <c r="D27" s="245">
        <f>D15*$B27</f>
        <v>61.177777777777777</v>
      </c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  <c r="BI27" s="216"/>
      <c r="BJ27" s="216"/>
      <c r="BK27" s="216"/>
      <c r="BL27" s="216"/>
    </row>
    <row r="28" spans="1:64" ht="15.75" customHeight="1" x14ac:dyDescent="0.2">
      <c r="A28" s="246" t="s">
        <v>170</v>
      </c>
      <c r="B28" s="247">
        <f>SUM(B26:B27)</f>
        <v>0.1111111111111111</v>
      </c>
      <c r="C28" s="235">
        <f>SUM(C26:C27)</f>
        <v>244.71111111111111</v>
      </c>
      <c r="D28" s="235">
        <f>SUM(D26:D27)</f>
        <v>244.71111111111111</v>
      </c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  <c r="BI28" s="216"/>
      <c r="BJ28" s="216"/>
      <c r="BK28" s="216"/>
      <c r="BL28" s="216"/>
    </row>
    <row r="29" spans="1:64" ht="27.6" customHeight="1" x14ac:dyDescent="0.2">
      <c r="A29" s="248" t="s">
        <v>171</v>
      </c>
      <c r="B29" s="249" t="s">
        <v>167</v>
      </c>
      <c r="C29" s="249" t="s">
        <v>156</v>
      </c>
      <c r="D29" s="249" t="s">
        <v>156</v>
      </c>
    </row>
    <row r="30" spans="1:64" ht="15.75" customHeight="1" x14ac:dyDescent="0.2">
      <c r="A30" s="224" t="s">
        <v>172</v>
      </c>
      <c r="B30" s="250">
        <v>0.2</v>
      </c>
      <c r="C30" s="251">
        <f t="shared" ref="C30:C37" si="0">($C$22+$C$28)*$B30</f>
        <v>489.42222222222227</v>
      </c>
      <c r="D30" s="251">
        <f t="shared" ref="D30:D37" si="1">($D$22+$D$28)*$B30</f>
        <v>489.42222222222227</v>
      </c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</row>
    <row r="31" spans="1:64" ht="15.75" customHeight="1" x14ac:dyDescent="0.2">
      <c r="A31" s="224" t="s">
        <v>173</v>
      </c>
      <c r="B31" s="250">
        <v>2.5000000000000001E-2</v>
      </c>
      <c r="C31" s="251">
        <f t="shared" si="0"/>
        <v>61.177777777777784</v>
      </c>
      <c r="D31" s="251">
        <f t="shared" si="1"/>
        <v>61.177777777777784</v>
      </c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</row>
    <row r="32" spans="1:64" ht="15.75" customHeight="1" x14ac:dyDescent="0.2">
      <c r="A32" s="224" t="s">
        <v>174</v>
      </c>
      <c r="B32" s="254">
        <v>0.03</v>
      </c>
      <c r="C32" s="251">
        <f t="shared" si="0"/>
        <v>73.413333333333341</v>
      </c>
      <c r="D32" s="251">
        <f t="shared" si="1"/>
        <v>73.413333333333341</v>
      </c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</row>
    <row r="33" spans="1:64" ht="15.75" customHeight="1" x14ac:dyDescent="0.2">
      <c r="A33" s="224" t="s">
        <v>175</v>
      </c>
      <c r="B33" s="250">
        <v>1.4999999999999999E-2</v>
      </c>
      <c r="C33" s="251">
        <f t="shared" si="0"/>
        <v>36.706666666666671</v>
      </c>
      <c r="D33" s="251">
        <f t="shared" si="1"/>
        <v>36.706666666666671</v>
      </c>
      <c r="E33" s="252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</row>
    <row r="34" spans="1:64" ht="15.75" customHeight="1" x14ac:dyDescent="0.2">
      <c r="A34" s="224" t="s">
        <v>176</v>
      </c>
      <c r="B34" s="250">
        <v>0.01</v>
      </c>
      <c r="C34" s="251">
        <f t="shared" si="0"/>
        <v>24.471111111111114</v>
      </c>
      <c r="D34" s="251">
        <f t="shared" si="1"/>
        <v>24.471111111111114</v>
      </c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</row>
    <row r="35" spans="1:64" ht="15.75" customHeight="1" x14ac:dyDescent="0.2">
      <c r="A35" s="224" t="s">
        <v>177</v>
      </c>
      <c r="B35" s="250">
        <v>6.0000000000000001E-3</v>
      </c>
      <c r="C35" s="251">
        <f t="shared" si="0"/>
        <v>14.682666666666668</v>
      </c>
      <c r="D35" s="251">
        <f t="shared" si="1"/>
        <v>14.682666666666668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</row>
    <row r="36" spans="1:64" ht="15.75" customHeight="1" x14ac:dyDescent="0.2">
      <c r="A36" s="224" t="s">
        <v>178</v>
      </c>
      <c r="B36" s="250">
        <v>2E-3</v>
      </c>
      <c r="C36" s="251">
        <f t="shared" si="0"/>
        <v>4.8942222222222229</v>
      </c>
      <c r="D36" s="251">
        <f t="shared" si="1"/>
        <v>4.8942222222222229</v>
      </c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  <c r="BI36" s="253"/>
      <c r="BJ36" s="253"/>
      <c r="BK36" s="253"/>
      <c r="BL36" s="253"/>
    </row>
    <row r="37" spans="1:64" ht="15.75" customHeight="1" x14ac:dyDescent="0.2">
      <c r="A37" s="224" t="s">
        <v>179</v>
      </c>
      <c r="B37" s="250">
        <v>0.08</v>
      </c>
      <c r="C37" s="251">
        <f t="shared" si="0"/>
        <v>195.76888888888891</v>
      </c>
      <c r="D37" s="251">
        <f t="shared" si="1"/>
        <v>195.76888888888891</v>
      </c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253"/>
      <c r="BJ37" s="253"/>
      <c r="BK37" s="253"/>
      <c r="BL37" s="253"/>
    </row>
    <row r="38" spans="1:64" ht="15.75" customHeight="1" x14ac:dyDescent="0.2">
      <c r="A38" s="246" t="s">
        <v>170</v>
      </c>
      <c r="B38" s="247">
        <f>SUM(B30:B37)</f>
        <v>0.36800000000000005</v>
      </c>
      <c r="C38" s="255">
        <f>SUM(C30:C37)</f>
        <v>900.53688888888894</v>
      </c>
      <c r="D38" s="255">
        <f>SUM(D30:D37)</f>
        <v>900.53688888888894</v>
      </c>
    </row>
    <row r="39" spans="1:64" ht="15.75" customHeight="1" x14ac:dyDescent="0.2">
      <c r="A39" s="256" t="s">
        <v>180</v>
      </c>
      <c r="B39" s="249" t="s">
        <v>181</v>
      </c>
      <c r="C39" s="257" t="s">
        <v>156</v>
      </c>
      <c r="D39" s="257" t="s">
        <v>156</v>
      </c>
    </row>
    <row r="40" spans="1:64" ht="15.75" customHeight="1" x14ac:dyDescent="0.25">
      <c r="A40" s="224" t="s">
        <v>182</v>
      </c>
      <c r="B40" s="258">
        <f>'VT, Uniforme e Plano Celular'!E7</f>
        <v>4.2</v>
      </c>
      <c r="C40" s="259">
        <f>((2*22*$B$40)-0.06*C22)</f>
        <v>52.656000000000006</v>
      </c>
      <c r="D40" s="259">
        <f>((2*22*$B$40)-0.06*D22)</f>
        <v>52.656000000000006</v>
      </c>
    </row>
    <row r="41" spans="1:64" ht="15.75" customHeight="1" x14ac:dyDescent="0.2">
      <c r="A41" s="224" t="s">
        <v>183</v>
      </c>
      <c r="B41" s="260">
        <v>28</v>
      </c>
      <c r="C41" s="245">
        <f>($B$41*0.9)*22</f>
        <v>554.4</v>
      </c>
      <c r="D41" s="245">
        <f>($B$41*0.9)*22</f>
        <v>554.4</v>
      </c>
    </row>
    <row r="42" spans="1:64" ht="15.75" customHeight="1" x14ac:dyDescent="0.2">
      <c r="A42" s="261" t="s">
        <v>184</v>
      </c>
      <c r="B42" s="260"/>
      <c r="C42" s="245"/>
      <c r="D42" s="245"/>
    </row>
    <row r="43" spans="1:64" ht="15.75" customHeight="1" x14ac:dyDescent="0.2">
      <c r="A43" s="224" t="s">
        <v>185</v>
      </c>
      <c r="B43" s="260">
        <v>24.99</v>
      </c>
      <c r="C43" s="245">
        <f>$B43</f>
        <v>24.99</v>
      </c>
      <c r="D43" s="245">
        <f>$B43</f>
        <v>24.99</v>
      </c>
    </row>
    <row r="44" spans="1:64" ht="15.75" customHeight="1" x14ac:dyDescent="0.2">
      <c r="A44" s="224" t="s">
        <v>186</v>
      </c>
      <c r="B44" s="260"/>
      <c r="C44" s="245">
        <f>B44</f>
        <v>0</v>
      </c>
      <c r="D44" s="245">
        <f>C44</f>
        <v>0</v>
      </c>
    </row>
    <row r="45" spans="1:64" ht="15.75" customHeight="1" x14ac:dyDescent="0.2">
      <c r="A45" s="224" t="s">
        <v>187</v>
      </c>
      <c r="B45" s="260"/>
      <c r="C45" s="262"/>
      <c r="D45" s="262"/>
    </row>
    <row r="46" spans="1:64" ht="15.75" customHeight="1" x14ac:dyDescent="0.2">
      <c r="A46" s="246" t="s">
        <v>170</v>
      </c>
      <c r="B46" s="235"/>
      <c r="C46" s="255">
        <f>SUM(C40:C45)</f>
        <v>632.04600000000005</v>
      </c>
      <c r="D46" s="255">
        <f>SUM(D40:D45)</f>
        <v>632.04600000000005</v>
      </c>
    </row>
    <row r="47" spans="1:64" ht="15.75" customHeight="1" x14ac:dyDescent="0.2">
      <c r="A47" s="263" t="s">
        <v>188</v>
      </c>
      <c r="B47" s="223" t="s">
        <v>155</v>
      </c>
      <c r="C47" s="264" t="s">
        <v>156</v>
      </c>
      <c r="D47" s="264" t="s">
        <v>156</v>
      </c>
    </row>
    <row r="48" spans="1:64" ht="15.75" customHeight="1" x14ac:dyDescent="0.2">
      <c r="A48" s="265" t="s">
        <v>189</v>
      </c>
      <c r="B48" s="266">
        <f>B28</f>
        <v>0.1111111111111111</v>
      </c>
      <c r="C48" s="243">
        <f>C28</f>
        <v>244.71111111111111</v>
      </c>
      <c r="D48" s="243">
        <f>D28</f>
        <v>244.71111111111111</v>
      </c>
    </row>
    <row r="49" spans="1:64" ht="15.75" customHeight="1" x14ac:dyDescent="0.2">
      <c r="A49" s="267" t="s">
        <v>190</v>
      </c>
      <c r="B49" s="268">
        <f>B38</f>
        <v>0.36800000000000005</v>
      </c>
      <c r="C49" s="245">
        <f>C38</f>
        <v>900.53688888888894</v>
      </c>
      <c r="D49" s="245">
        <f>D38</f>
        <v>900.53688888888894</v>
      </c>
    </row>
    <row r="50" spans="1:64" ht="15.75" customHeight="1" x14ac:dyDescent="0.2">
      <c r="A50" s="267" t="s">
        <v>191</v>
      </c>
      <c r="B50" s="269"/>
      <c r="C50" s="245">
        <f>C46</f>
        <v>632.04600000000005</v>
      </c>
      <c r="D50" s="245">
        <f>D46</f>
        <v>632.04600000000005</v>
      </c>
    </row>
    <row r="51" spans="1:64" ht="15.75" customHeight="1" x14ac:dyDescent="0.2">
      <c r="A51" s="233" t="s">
        <v>164</v>
      </c>
      <c r="B51" s="270"/>
      <c r="C51" s="235">
        <f>SUM(C48:C50)</f>
        <v>1777.2940000000001</v>
      </c>
      <c r="D51" s="235">
        <f>SUM(D48:D50)</f>
        <v>1777.2940000000001</v>
      </c>
    </row>
    <row r="52" spans="1:64" ht="15.75" customHeight="1" x14ac:dyDescent="0.2">
      <c r="A52" s="271"/>
      <c r="B52" s="238"/>
      <c r="C52" s="238"/>
      <c r="D52" s="238"/>
    </row>
    <row r="53" spans="1:64" ht="16.5" customHeight="1" x14ac:dyDescent="0.2">
      <c r="A53" s="647" t="s">
        <v>192</v>
      </c>
      <c r="B53" s="647"/>
      <c r="C53" s="647"/>
      <c r="D53" s="647"/>
    </row>
    <row r="54" spans="1:64" ht="15.75" customHeight="1" thickBot="1" x14ac:dyDescent="0.25">
      <c r="A54" s="221" t="s">
        <v>193</v>
      </c>
      <c r="B54" s="223" t="s">
        <v>167</v>
      </c>
      <c r="C54" s="272" t="s">
        <v>156</v>
      </c>
      <c r="D54" s="272" t="s">
        <v>156</v>
      </c>
    </row>
    <row r="55" spans="1:64" ht="15.75" customHeight="1" thickTop="1" x14ac:dyDescent="0.2">
      <c r="A55" s="224" t="s">
        <v>194</v>
      </c>
      <c r="B55" s="273">
        <f>1/12*0.05</f>
        <v>4.1666666666666666E-3</v>
      </c>
      <c r="C55" s="274">
        <f>$B55*$C$22</f>
        <v>9.1766666666666676</v>
      </c>
      <c r="D55" s="274">
        <f>$B55*$D$22</f>
        <v>9.1766666666666676</v>
      </c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  <c r="BI55" s="253"/>
      <c r="BJ55" s="253"/>
      <c r="BK55" s="253"/>
      <c r="BL55" s="253"/>
    </row>
    <row r="56" spans="1:64" ht="15.75" customHeight="1" x14ac:dyDescent="0.2">
      <c r="A56" s="230" t="s">
        <v>195</v>
      </c>
      <c r="B56" s="275">
        <f>B37*B55</f>
        <v>3.3333333333333332E-4</v>
      </c>
      <c r="C56" s="274">
        <f>$B56*$C$22</f>
        <v>0.7341333333333333</v>
      </c>
      <c r="D56" s="274">
        <f>$B56*$D$22</f>
        <v>0.7341333333333333</v>
      </c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</row>
    <row r="57" spans="1:64" ht="15.75" customHeight="1" x14ac:dyDescent="0.2">
      <c r="A57" s="224" t="s">
        <v>196</v>
      </c>
      <c r="B57" s="273">
        <v>0</v>
      </c>
      <c r="C57" s="274">
        <f>B57*$C$22</f>
        <v>0</v>
      </c>
      <c r="D57" s="274">
        <f>C57*$C$22</f>
        <v>0</v>
      </c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  <c r="BI57" s="253"/>
      <c r="BJ57" s="253"/>
      <c r="BK57" s="253"/>
      <c r="BL57" s="253"/>
    </row>
    <row r="58" spans="1:64" ht="15.75" customHeight="1" x14ac:dyDescent="0.2">
      <c r="A58" s="224" t="s">
        <v>197</v>
      </c>
      <c r="B58" s="273">
        <f>1/30*7/12</f>
        <v>1.9444444444444445E-2</v>
      </c>
      <c r="C58" s="274">
        <f>$B58*$C$22</f>
        <v>42.824444444444445</v>
      </c>
      <c r="D58" s="274">
        <f>$B58*$D$22</f>
        <v>42.824444444444445</v>
      </c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253"/>
      <c r="AT58" s="253"/>
      <c r="AU58" s="253"/>
      <c r="AV58" s="253"/>
      <c r="AW58" s="253"/>
      <c r="AX58" s="253"/>
      <c r="AY58" s="253"/>
      <c r="AZ58" s="253"/>
      <c r="BA58" s="253"/>
      <c r="BB58" s="253"/>
      <c r="BC58" s="253"/>
      <c r="BD58" s="253"/>
      <c r="BE58" s="253"/>
      <c r="BF58" s="253"/>
      <c r="BG58" s="253"/>
      <c r="BH58" s="253"/>
      <c r="BI58" s="253"/>
      <c r="BJ58" s="253"/>
      <c r="BK58" s="253"/>
      <c r="BL58" s="253"/>
    </row>
    <row r="59" spans="1:64" ht="15.75" customHeight="1" x14ac:dyDescent="0.2">
      <c r="A59" s="224" t="s">
        <v>198</v>
      </c>
      <c r="B59" s="275">
        <f>B58*B38</f>
        <v>7.1555555555555565E-3</v>
      </c>
      <c r="C59" s="274">
        <f>$B59*$C$22</f>
        <v>15.759395555555558</v>
      </c>
      <c r="D59" s="274">
        <f>$B59*$D$22</f>
        <v>15.759395555555558</v>
      </c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3"/>
      <c r="AA59" s="253"/>
      <c r="AB59" s="253"/>
      <c r="AC59" s="253"/>
      <c r="AD59" s="253"/>
      <c r="AE59" s="253"/>
      <c r="AF59" s="253"/>
      <c r="AG59" s="253"/>
      <c r="AH59" s="253"/>
      <c r="AI59" s="253"/>
      <c r="AJ59" s="253"/>
      <c r="AK59" s="253"/>
      <c r="AL59" s="253"/>
      <c r="AM59" s="253"/>
      <c r="AN59" s="253"/>
      <c r="AO59" s="253"/>
      <c r="AP59" s="253"/>
      <c r="AQ59" s="253"/>
      <c r="AR59" s="253"/>
      <c r="AS59" s="253"/>
      <c r="AT59" s="253"/>
      <c r="AU59" s="253"/>
      <c r="AV59" s="253"/>
      <c r="AW59" s="253"/>
      <c r="AX59" s="253"/>
      <c r="AY59" s="253"/>
      <c r="AZ59" s="253"/>
      <c r="BA59" s="253"/>
      <c r="BB59" s="253"/>
      <c r="BC59" s="253"/>
      <c r="BD59" s="253"/>
      <c r="BE59" s="253"/>
      <c r="BF59" s="253"/>
      <c r="BG59" s="253"/>
      <c r="BH59" s="253"/>
      <c r="BI59" s="253"/>
      <c r="BJ59" s="253"/>
      <c r="BK59" s="253"/>
      <c r="BL59" s="253"/>
    </row>
    <row r="60" spans="1:64" ht="15.75" customHeight="1" x14ac:dyDescent="0.2">
      <c r="A60" s="224" t="s">
        <v>199</v>
      </c>
      <c r="B60" s="276">
        <f>B37*0.4*0.9*(1+1/12+1/12+1/3*1/12)</f>
        <v>3.4399999999999993E-2</v>
      </c>
      <c r="C60" s="274">
        <f>$B60*$C$22</f>
        <v>75.762559999999993</v>
      </c>
      <c r="D60" s="274">
        <f>$B60*$D$22</f>
        <v>75.762559999999993</v>
      </c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253"/>
      <c r="BC60" s="253"/>
      <c r="BD60" s="253"/>
      <c r="BE60" s="253"/>
      <c r="BF60" s="253"/>
      <c r="BG60" s="253"/>
      <c r="BH60" s="253"/>
      <c r="BI60" s="253"/>
      <c r="BJ60" s="253"/>
      <c r="BK60" s="253"/>
      <c r="BL60" s="253"/>
    </row>
    <row r="61" spans="1:64" ht="15.75" customHeight="1" x14ac:dyDescent="0.2">
      <c r="A61" s="246" t="s">
        <v>164</v>
      </c>
      <c r="B61" s="277">
        <f>SUM(B55:B60)</f>
        <v>6.5500000000000003E-2</v>
      </c>
      <c r="C61" s="235">
        <f>SUM(C55:C60)</f>
        <v>144.25720000000001</v>
      </c>
      <c r="D61" s="235">
        <f>SUM(D55:D60)</f>
        <v>144.25720000000001</v>
      </c>
    </row>
    <row r="62" spans="1:64" ht="15.75" customHeight="1" x14ac:dyDescent="0.2">
      <c r="A62" s="271"/>
      <c r="B62" s="238"/>
      <c r="C62" s="238"/>
      <c r="D62" s="238"/>
    </row>
    <row r="63" spans="1:64" ht="16.149999999999999" customHeight="1" x14ac:dyDescent="0.2">
      <c r="A63" s="647" t="s">
        <v>200</v>
      </c>
      <c r="B63" s="647"/>
      <c r="C63" s="647"/>
      <c r="D63" s="647"/>
    </row>
    <row r="64" spans="1:64" ht="15.75" customHeight="1" x14ac:dyDescent="0.2">
      <c r="A64" s="278" t="s">
        <v>201</v>
      </c>
      <c r="B64" s="240" t="s">
        <v>167</v>
      </c>
      <c r="C64" s="279" t="s">
        <v>156</v>
      </c>
      <c r="D64" s="279" t="s">
        <v>156</v>
      </c>
    </row>
    <row r="65" spans="1:64" ht="15.95" customHeight="1" x14ac:dyDescent="0.2">
      <c r="A65" s="224" t="s">
        <v>202</v>
      </c>
      <c r="B65" s="244">
        <f>1/12</f>
        <v>8.3333333333333329E-2</v>
      </c>
      <c r="C65" s="251">
        <f t="shared" ref="C65:D69" si="2">(C$22+(C$51-C$40-C$41)+C$61)*$B65</f>
        <v>293.07460000000003</v>
      </c>
      <c r="D65" s="251">
        <f t="shared" si="2"/>
        <v>293.07460000000003</v>
      </c>
      <c r="E65" s="252"/>
      <c r="F65" s="252"/>
      <c r="G65" s="252"/>
      <c r="H65" s="252"/>
      <c r="I65" s="252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2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  <c r="BI65" s="253"/>
      <c r="BJ65" s="253"/>
      <c r="BK65" s="253"/>
      <c r="BL65" s="253"/>
    </row>
    <row r="66" spans="1:64" ht="15.75" customHeight="1" x14ac:dyDescent="0.2">
      <c r="A66" s="224" t="s">
        <v>203</v>
      </c>
      <c r="B66" s="244">
        <f>4.8616/30/12</f>
        <v>1.3504444444444444E-2</v>
      </c>
      <c r="C66" s="251">
        <f t="shared" si="2"/>
        <v>47.493715845333334</v>
      </c>
      <c r="D66" s="251">
        <f t="shared" si="2"/>
        <v>47.493715845333334</v>
      </c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2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253"/>
      <c r="AL66" s="253"/>
      <c r="AM66" s="253"/>
      <c r="AN66" s="253"/>
      <c r="AO66" s="253"/>
      <c r="AP66" s="253"/>
      <c r="AQ66" s="253"/>
      <c r="AR66" s="253"/>
      <c r="AS66" s="253"/>
      <c r="AT66" s="253"/>
      <c r="AU66" s="253"/>
      <c r="AV66" s="253"/>
      <c r="AW66" s="253"/>
      <c r="AX66" s="253"/>
      <c r="AY66" s="253"/>
      <c r="AZ66" s="253"/>
      <c r="BA66" s="253"/>
      <c r="BB66" s="253"/>
      <c r="BC66" s="253"/>
      <c r="BD66" s="253"/>
      <c r="BE66" s="253"/>
      <c r="BF66" s="253"/>
      <c r="BG66" s="253"/>
      <c r="BH66" s="253"/>
      <c r="BI66" s="253"/>
      <c r="BJ66" s="253"/>
      <c r="BK66" s="253"/>
      <c r="BL66" s="253"/>
    </row>
    <row r="67" spans="1:64" ht="15.75" customHeight="1" x14ac:dyDescent="0.2">
      <c r="A67" s="224" t="s">
        <v>204</v>
      </c>
      <c r="B67" s="244">
        <f>5/30/12*0.015*0.8988</f>
        <v>1.8725E-4</v>
      </c>
      <c r="C67" s="251">
        <f t="shared" si="2"/>
        <v>0.65853862620000003</v>
      </c>
      <c r="D67" s="251">
        <f t="shared" si="2"/>
        <v>0.65853862620000003</v>
      </c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52"/>
      <c r="S67" s="252"/>
      <c r="T67" s="252"/>
      <c r="U67" s="252"/>
      <c r="V67" s="252"/>
      <c r="W67" s="252"/>
      <c r="X67" s="252"/>
      <c r="Y67" s="252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3"/>
      <c r="AO67" s="253"/>
      <c r="AP67" s="253"/>
      <c r="AQ67" s="253"/>
      <c r="AR67" s="253"/>
      <c r="AS67" s="253"/>
      <c r="AT67" s="253"/>
      <c r="AU67" s="253"/>
      <c r="AV67" s="253"/>
      <c r="AW67" s="253"/>
      <c r="AX67" s="253"/>
      <c r="AY67" s="253"/>
      <c r="AZ67" s="253"/>
      <c r="BA67" s="253"/>
      <c r="BB67" s="253"/>
      <c r="BC67" s="253"/>
      <c r="BD67" s="253"/>
      <c r="BE67" s="253"/>
      <c r="BF67" s="253"/>
      <c r="BG67" s="253"/>
      <c r="BH67" s="253"/>
      <c r="BI67" s="253"/>
      <c r="BJ67" s="253"/>
      <c r="BK67" s="253"/>
      <c r="BL67" s="253"/>
    </row>
    <row r="68" spans="1:64" ht="15.75" customHeight="1" x14ac:dyDescent="0.2">
      <c r="A68" s="224" t="s">
        <v>205</v>
      </c>
      <c r="B68" s="244">
        <f>0.9659/30/12</f>
        <v>2.6830555555555553E-3</v>
      </c>
      <c r="C68" s="251">
        <f t="shared" si="2"/>
        <v>9.4360252046666666</v>
      </c>
      <c r="D68" s="251">
        <f t="shared" si="2"/>
        <v>9.4360252046666666</v>
      </c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2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3"/>
      <c r="BC68" s="253"/>
      <c r="BD68" s="253"/>
      <c r="BE68" s="253"/>
      <c r="BF68" s="253"/>
      <c r="BG68" s="253"/>
      <c r="BH68" s="253"/>
      <c r="BI68" s="253"/>
      <c r="BJ68" s="253"/>
      <c r="BK68" s="253"/>
      <c r="BL68" s="253"/>
    </row>
    <row r="69" spans="1:64" ht="15.75" customHeight="1" x14ac:dyDescent="0.2">
      <c r="A69" s="224" t="s">
        <v>163</v>
      </c>
      <c r="B69" s="244">
        <v>0</v>
      </c>
      <c r="C69" s="251">
        <f t="shared" si="2"/>
        <v>0</v>
      </c>
      <c r="D69" s="251">
        <f t="shared" si="2"/>
        <v>0</v>
      </c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2"/>
      <c r="Z69" s="253"/>
      <c r="AA69" s="253"/>
      <c r="AB69" s="253"/>
      <c r="AC69" s="253"/>
      <c r="AD69" s="253"/>
      <c r="AE69" s="253"/>
      <c r="AF69" s="253"/>
      <c r="AG69" s="253"/>
      <c r="AH69" s="253"/>
      <c r="AI69" s="253"/>
      <c r="AJ69" s="253"/>
      <c r="AK69" s="253"/>
      <c r="AL69" s="253"/>
      <c r="AM69" s="253"/>
      <c r="AN69" s="253"/>
      <c r="AO69" s="253"/>
      <c r="AP69" s="253"/>
      <c r="AQ69" s="253"/>
      <c r="AR69" s="253"/>
      <c r="AS69" s="253"/>
      <c r="AT69" s="253"/>
      <c r="AU69" s="253"/>
      <c r="AV69" s="253"/>
      <c r="AW69" s="253"/>
      <c r="AX69" s="253"/>
      <c r="AY69" s="253"/>
      <c r="AZ69" s="253"/>
      <c r="BA69" s="253"/>
      <c r="BB69" s="253"/>
      <c r="BC69" s="253"/>
      <c r="BD69" s="253"/>
      <c r="BE69" s="253"/>
      <c r="BF69" s="253"/>
      <c r="BG69" s="253"/>
      <c r="BH69" s="253"/>
      <c r="BI69" s="253"/>
      <c r="BJ69" s="253"/>
      <c r="BK69" s="253"/>
      <c r="BL69" s="253"/>
    </row>
    <row r="70" spans="1:64" ht="15.75" customHeight="1" x14ac:dyDescent="0.2">
      <c r="A70" s="246" t="s">
        <v>170</v>
      </c>
      <c r="B70" s="247">
        <f>SUM(B65:B69)</f>
        <v>9.9708083333333322E-2</v>
      </c>
      <c r="C70" s="255">
        <f>SUM(C65:C69)</f>
        <v>350.66287967620008</v>
      </c>
      <c r="D70" s="255">
        <f>SUM(D65:D69)</f>
        <v>350.66287967620008</v>
      </c>
    </row>
    <row r="71" spans="1:64" ht="15.75" customHeight="1" x14ac:dyDescent="0.2">
      <c r="A71" s="278" t="s">
        <v>206</v>
      </c>
      <c r="B71" s="280"/>
      <c r="C71" s="279" t="s">
        <v>156</v>
      </c>
      <c r="D71" s="279" t="s">
        <v>156</v>
      </c>
    </row>
    <row r="72" spans="1:64" ht="15.75" customHeight="1" x14ac:dyDescent="0.2">
      <c r="A72" s="230" t="s">
        <v>207</v>
      </c>
      <c r="B72" s="281">
        <v>0</v>
      </c>
      <c r="C72" s="282"/>
      <c r="D72" s="282"/>
      <c r="E72" s="252"/>
      <c r="F72" s="252"/>
      <c r="G72" s="252"/>
      <c r="H72" s="252"/>
      <c r="I72" s="252"/>
      <c r="J72" s="252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2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  <c r="BI72" s="253"/>
      <c r="BJ72" s="253"/>
      <c r="BK72" s="253"/>
      <c r="BL72" s="253"/>
    </row>
    <row r="73" spans="1:64" ht="15.75" customHeight="1" x14ac:dyDescent="0.2">
      <c r="A73" s="246" t="s">
        <v>170</v>
      </c>
      <c r="B73" s="247">
        <v>0</v>
      </c>
      <c r="C73" s="255"/>
      <c r="D73" s="255"/>
    </row>
    <row r="74" spans="1:64" ht="15.75" customHeight="1" x14ac:dyDescent="0.2">
      <c r="A74" s="278" t="s">
        <v>208</v>
      </c>
      <c r="B74" s="280"/>
      <c r="C74" s="279" t="s">
        <v>156</v>
      </c>
      <c r="D74" s="279" t="s">
        <v>156</v>
      </c>
    </row>
    <row r="75" spans="1:64" ht="15.75" customHeight="1" x14ac:dyDescent="0.2">
      <c r="A75" s="224" t="s">
        <v>209</v>
      </c>
      <c r="B75" s="254">
        <f>(120/30)*0.1012*0.0032</f>
        <v>1.29536E-3</v>
      </c>
      <c r="C75" s="251">
        <f>(C$22+C$51+C$61)*$B75</f>
        <v>5.3420014264320006</v>
      </c>
      <c r="D75" s="251">
        <f>(D$22+D$51+D$61)*$B75</f>
        <v>5.3420014264320006</v>
      </c>
    </row>
    <row r="76" spans="1:64" ht="15.75" customHeight="1" x14ac:dyDescent="0.2">
      <c r="A76" s="246" t="s">
        <v>164</v>
      </c>
      <c r="B76" s="247">
        <f>B75</f>
        <v>1.29536E-3</v>
      </c>
      <c r="C76" s="255">
        <f>C75</f>
        <v>5.3420014264320006</v>
      </c>
      <c r="D76" s="255">
        <f>D75</f>
        <v>5.3420014264320006</v>
      </c>
    </row>
    <row r="77" spans="1:64" ht="15.75" customHeight="1" x14ac:dyDescent="0.2">
      <c r="A77" s="278" t="s">
        <v>210</v>
      </c>
      <c r="B77" s="280"/>
      <c r="C77" s="279" t="s">
        <v>156</v>
      </c>
      <c r="D77" s="279" t="s">
        <v>156</v>
      </c>
    </row>
    <row r="78" spans="1:64" ht="15.75" customHeight="1" x14ac:dyDescent="0.2">
      <c r="A78" s="224" t="s">
        <v>211</v>
      </c>
      <c r="B78" s="254">
        <v>0</v>
      </c>
      <c r="C78" s="251"/>
      <c r="D78" s="251"/>
    </row>
    <row r="79" spans="1:64" ht="15.75" customHeight="1" x14ac:dyDescent="0.2">
      <c r="A79" s="246" t="s">
        <v>164</v>
      </c>
      <c r="B79" s="247">
        <f>B78</f>
        <v>0</v>
      </c>
      <c r="C79" s="255">
        <f>C78</f>
        <v>0</v>
      </c>
      <c r="D79" s="255">
        <f>D78</f>
        <v>0</v>
      </c>
    </row>
    <row r="80" spans="1:64" ht="15.75" customHeight="1" x14ac:dyDescent="0.2">
      <c r="A80" s="283" t="s">
        <v>212</v>
      </c>
      <c r="B80" s="223" t="s">
        <v>155</v>
      </c>
      <c r="C80" s="284" t="s">
        <v>156</v>
      </c>
      <c r="D80" s="284" t="s">
        <v>156</v>
      </c>
    </row>
    <row r="81" spans="1:64" ht="15.75" customHeight="1" x14ac:dyDescent="0.2">
      <c r="A81" s="285" t="s">
        <v>213</v>
      </c>
      <c r="B81" s="286">
        <f>B70</f>
        <v>9.9708083333333322E-2</v>
      </c>
      <c r="C81" s="243">
        <f>C70</f>
        <v>350.66287967620008</v>
      </c>
      <c r="D81" s="243">
        <f>D70</f>
        <v>350.66287967620008</v>
      </c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  <c r="Q81" s="252"/>
      <c r="R81" s="252"/>
      <c r="S81" s="252"/>
      <c r="T81" s="252"/>
      <c r="U81" s="252"/>
      <c r="V81" s="252"/>
      <c r="W81" s="252"/>
      <c r="X81" s="252"/>
      <c r="Y81" s="252"/>
      <c r="Z81" s="253"/>
      <c r="AA81" s="253"/>
      <c r="AB81" s="253"/>
      <c r="AC81" s="253"/>
      <c r="AD81" s="253"/>
      <c r="AE81" s="253"/>
      <c r="AF81" s="253"/>
      <c r="AG81" s="253"/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  <c r="BI81" s="253"/>
      <c r="BJ81" s="253"/>
      <c r="BK81" s="253"/>
      <c r="BL81" s="253"/>
    </row>
    <row r="82" spans="1:64" ht="15.75" customHeight="1" x14ac:dyDescent="0.2">
      <c r="A82" s="287" t="s">
        <v>214</v>
      </c>
      <c r="B82" s="286">
        <f>B73</f>
        <v>0</v>
      </c>
      <c r="C82" s="245">
        <f>C73</f>
        <v>0</v>
      </c>
      <c r="D82" s="245">
        <f>D73</f>
        <v>0</v>
      </c>
      <c r="E82" s="252"/>
      <c r="F82" s="252"/>
      <c r="G82" s="252"/>
      <c r="H82" s="252"/>
      <c r="I82" s="252"/>
      <c r="J82" s="252"/>
      <c r="K82" s="252"/>
      <c r="L82" s="252"/>
      <c r="M82" s="252"/>
      <c r="N82" s="252"/>
      <c r="O82" s="252"/>
      <c r="P82" s="252"/>
      <c r="Q82" s="252"/>
      <c r="R82" s="252"/>
      <c r="S82" s="252"/>
      <c r="T82" s="252"/>
      <c r="U82" s="252"/>
      <c r="V82" s="252"/>
      <c r="W82" s="252"/>
      <c r="X82" s="252"/>
      <c r="Y82" s="252"/>
      <c r="Z82" s="253"/>
      <c r="AA82" s="253"/>
      <c r="AB82" s="253"/>
      <c r="AC82" s="253"/>
      <c r="AD82" s="253"/>
      <c r="AE82" s="253"/>
      <c r="AF82" s="253"/>
      <c r="AG82" s="253"/>
      <c r="AH82" s="253"/>
      <c r="AI82" s="253"/>
      <c r="AJ82" s="253"/>
      <c r="AK82" s="253"/>
      <c r="AL82" s="253"/>
      <c r="AM82" s="253"/>
      <c r="AN82" s="253"/>
      <c r="AO82" s="253"/>
      <c r="AP82" s="253"/>
      <c r="AQ82" s="253"/>
      <c r="AR82" s="253"/>
      <c r="AS82" s="253"/>
      <c r="AT82" s="253"/>
      <c r="AU82" s="253"/>
      <c r="AV82" s="253"/>
      <c r="AW82" s="253"/>
      <c r="AX82" s="253"/>
      <c r="AY82" s="253"/>
      <c r="AZ82" s="253"/>
      <c r="BA82" s="253"/>
      <c r="BB82" s="253"/>
      <c r="BC82" s="253"/>
      <c r="BD82" s="253"/>
      <c r="BE82" s="253"/>
      <c r="BF82" s="253"/>
      <c r="BG82" s="253"/>
      <c r="BH82" s="253"/>
      <c r="BI82" s="253"/>
      <c r="BJ82" s="253"/>
      <c r="BK82" s="253"/>
      <c r="BL82" s="253"/>
    </row>
    <row r="83" spans="1:64" ht="15.75" customHeight="1" x14ac:dyDescent="0.2">
      <c r="A83" s="287" t="s">
        <v>215</v>
      </c>
      <c r="B83" s="286">
        <f>B76</f>
        <v>1.29536E-3</v>
      </c>
      <c r="C83" s="245">
        <f>C76</f>
        <v>5.3420014264320006</v>
      </c>
      <c r="D83" s="245">
        <f>D76</f>
        <v>5.3420014264320006</v>
      </c>
      <c r="E83" s="252"/>
      <c r="F83" s="252"/>
      <c r="G83" s="252"/>
      <c r="H83" s="252"/>
      <c r="I83" s="252"/>
      <c r="J83" s="252"/>
      <c r="K83" s="252"/>
      <c r="L83" s="252"/>
      <c r="M83" s="252"/>
      <c r="N83" s="252"/>
      <c r="O83" s="252"/>
      <c r="P83" s="252"/>
      <c r="Q83" s="252"/>
      <c r="R83" s="252"/>
      <c r="S83" s="252"/>
      <c r="T83" s="252"/>
      <c r="U83" s="252"/>
      <c r="V83" s="252"/>
      <c r="W83" s="252"/>
      <c r="X83" s="252"/>
      <c r="Y83" s="252"/>
      <c r="Z83" s="253"/>
      <c r="AA83" s="253"/>
      <c r="AB83" s="253"/>
      <c r="AC83" s="253"/>
      <c r="AD83" s="253"/>
      <c r="AE83" s="253"/>
      <c r="AF83" s="253"/>
      <c r="AG83" s="253"/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  <c r="BI83" s="253"/>
      <c r="BJ83" s="253"/>
      <c r="BK83" s="253"/>
      <c r="BL83" s="253"/>
    </row>
    <row r="84" spans="1:64" ht="15.75" customHeight="1" x14ac:dyDescent="0.2">
      <c r="A84" s="287" t="s">
        <v>216</v>
      </c>
      <c r="B84" s="286">
        <f>B79</f>
        <v>0</v>
      </c>
      <c r="C84" s="245">
        <f>C79</f>
        <v>0</v>
      </c>
      <c r="D84" s="245">
        <f>D79</f>
        <v>0</v>
      </c>
      <c r="E84" s="252"/>
      <c r="F84" s="252"/>
      <c r="G84" s="252"/>
      <c r="H84" s="252"/>
      <c r="I84" s="252"/>
      <c r="J84" s="252"/>
      <c r="K84" s="252"/>
      <c r="L84" s="252"/>
      <c r="M84" s="252"/>
      <c r="N84" s="252"/>
      <c r="O84" s="252"/>
      <c r="P84" s="252"/>
      <c r="Q84" s="252"/>
      <c r="R84" s="252"/>
      <c r="S84" s="252"/>
      <c r="T84" s="252"/>
      <c r="U84" s="252"/>
      <c r="V84" s="252"/>
      <c r="W84" s="252"/>
      <c r="X84" s="252"/>
      <c r="Y84" s="252"/>
      <c r="Z84" s="253"/>
      <c r="AA84" s="253"/>
      <c r="AB84" s="253"/>
      <c r="AC84" s="253"/>
      <c r="AD84" s="253"/>
      <c r="AE84" s="253"/>
      <c r="AF84" s="253"/>
      <c r="AG84" s="253"/>
      <c r="AH84" s="253"/>
      <c r="AI84" s="253"/>
      <c r="AJ84" s="253"/>
      <c r="AK84" s="253"/>
      <c r="AL84" s="253"/>
      <c r="AM84" s="253"/>
      <c r="AN84" s="253"/>
      <c r="AO84" s="253"/>
      <c r="AP84" s="253"/>
      <c r="AQ84" s="253"/>
      <c r="AR84" s="253"/>
      <c r="AS84" s="253"/>
      <c r="AT84" s="253"/>
      <c r="AU84" s="253"/>
      <c r="AV84" s="253"/>
      <c r="AW84" s="253"/>
      <c r="AX84" s="253"/>
      <c r="AY84" s="253"/>
      <c r="AZ84" s="253"/>
      <c r="BA84" s="253"/>
      <c r="BB84" s="253"/>
      <c r="BC84" s="253"/>
      <c r="BD84" s="253"/>
      <c r="BE84" s="253"/>
      <c r="BF84" s="253"/>
      <c r="BG84" s="253"/>
      <c r="BH84" s="253"/>
      <c r="BI84" s="253"/>
      <c r="BJ84" s="253"/>
      <c r="BK84" s="253"/>
      <c r="BL84" s="253"/>
    </row>
    <row r="85" spans="1:64" ht="15.75" customHeight="1" x14ac:dyDescent="0.2">
      <c r="A85" s="233" t="s">
        <v>164</v>
      </c>
      <c r="B85" s="277"/>
      <c r="C85" s="235">
        <f>SUM(C81:C84)</f>
        <v>356.00488110263205</v>
      </c>
      <c r="D85" s="235">
        <f>SUM(D81:D84)</f>
        <v>356.00488110263205</v>
      </c>
    </row>
    <row r="86" spans="1:64" ht="15.75" customHeight="1" x14ac:dyDescent="0.2">
      <c r="A86" s="271"/>
      <c r="B86" s="288"/>
      <c r="C86" s="238"/>
      <c r="D86" s="238"/>
    </row>
    <row r="87" spans="1:64" ht="16.5" customHeight="1" x14ac:dyDescent="0.2">
      <c r="A87" s="647" t="s">
        <v>217</v>
      </c>
      <c r="B87" s="647"/>
      <c r="C87" s="647"/>
      <c r="D87" s="647"/>
    </row>
    <row r="88" spans="1:64" ht="15.75" customHeight="1" x14ac:dyDescent="0.2">
      <c r="A88" s="289" t="s">
        <v>218</v>
      </c>
      <c r="B88" s="223" t="s">
        <v>181</v>
      </c>
      <c r="C88" s="284" t="s">
        <v>156</v>
      </c>
      <c r="D88" s="284" t="s">
        <v>156</v>
      </c>
    </row>
    <row r="89" spans="1:64" ht="15.75" customHeight="1" x14ac:dyDescent="0.25">
      <c r="A89" s="285" t="s">
        <v>219</v>
      </c>
      <c r="B89" s="290">
        <f>'VT, Uniforme e Plano Celular'!E37</f>
        <v>23.09</v>
      </c>
      <c r="C89" s="259">
        <f t="shared" ref="C89:D92" si="3">$B89</f>
        <v>23.09</v>
      </c>
      <c r="D89" s="259">
        <f t="shared" si="3"/>
        <v>23.09</v>
      </c>
    </row>
    <row r="90" spans="1:64" ht="15.75" customHeight="1" x14ac:dyDescent="0.25">
      <c r="A90" s="287" t="s">
        <v>220</v>
      </c>
      <c r="B90" s="291"/>
      <c r="C90" s="292">
        <f t="shared" si="3"/>
        <v>0</v>
      </c>
      <c r="D90" s="292">
        <f t="shared" si="3"/>
        <v>0</v>
      </c>
    </row>
    <row r="91" spans="1:64" ht="15.75" customHeight="1" x14ac:dyDescent="0.25">
      <c r="A91" s="287" t="s">
        <v>221</v>
      </c>
      <c r="B91" s="291"/>
      <c r="C91" s="292">
        <f t="shared" si="3"/>
        <v>0</v>
      </c>
      <c r="D91" s="292">
        <f t="shared" si="3"/>
        <v>0</v>
      </c>
    </row>
    <row r="92" spans="1:64" ht="15.75" customHeight="1" x14ac:dyDescent="0.25">
      <c r="A92" s="287" t="s">
        <v>222</v>
      </c>
      <c r="B92" s="291"/>
      <c r="C92" s="292">
        <f t="shared" si="3"/>
        <v>0</v>
      </c>
      <c r="D92" s="292">
        <f t="shared" si="3"/>
        <v>0</v>
      </c>
    </row>
    <row r="93" spans="1:64" ht="15.75" customHeight="1" x14ac:dyDescent="0.25">
      <c r="A93" s="293" t="s">
        <v>223</v>
      </c>
      <c r="B93" s="294">
        <f>'VT, Uniforme e Plano Celular'!D56</f>
        <v>58.62</v>
      </c>
      <c r="C93" s="292">
        <f>B93</f>
        <v>58.62</v>
      </c>
      <c r="D93" s="292">
        <f>B93</f>
        <v>58.62</v>
      </c>
    </row>
    <row r="94" spans="1:64" ht="15.75" customHeight="1" x14ac:dyDescent="0.2">
      <c r="A94" s="295" t="s">
        <v>164</v>
      </c>
      <c r="B94" s="296"/>
      <c r="C94" s="235">
        <f>SUM(C89:C93)</f>
        <v>81.709999999999994</v>
      </c>
      <c r="D94" s="235">
        <f>SUM(D89:D93)</f>
        <v>81.709999999999994</v>
      </c>
    </row>
    <row r="95" spans="1:64" ht="15.75" customHeight="1" x14ac:dyDescent="0.2">
      <c r="A95" s="271"/>
      <c r="B95" s="288"/>
      <c r="C95" s="238"/>
      <c r="D95" s="238"/>
    </row>
    <row r="96" spans="1:64" ht="16.5" customHeight="1" x14ac:dyDescent="0.2">
      <c r="A96" s="647" t="s">
        <v>224</v>
      </c>
      <c r="B96" s="647"/>
      <c r="C96" s="647"/>
      <c r="D96" s="647"/>
    </row>
    <row r="97" spans="1:4" ht="15.75" customHeight="1" thickBot="1" x14ac:dyDescent="0.25">
      <c r="A97" s="221" t="s">
        <v>225</v>
      </c>
      <c r="B97" s="223" t="s">
        <v>167</v>
      </c>
      <c r="C97" s="284" t="s">
        <v>156</v>
      </c>
      <c r="D97" s="284" t="s">
        <v>156</v>
      </c>
    </row>
    <row r="98" spans="1:4" ht="15.75" customHeight="1" thickTop="1" x14ac:dyDescent="0.2">
      <c r="A98" s="224" t="s">
        <v>226</v>
      </c>
      <c r="B98" s="297">
        <v>0.05</v>
      </c>
      <c r="C98" s="298">
        <f>(C$22+C$51+C$61+C$85+C$94)*$B98</f>
        <v>228.08330405513163</v>
      </c>
      <c r="D98" s="298">
        <f>(D$22+D$51+D$61+D$85+D$94)*$B98</f>
        <v>228.08330405513163</v>
      </c>
    </row>
    <row r="99" spans="1:4" ht="15.75" customHeight="1" x14ac:dyDescent="0.2">
      <c r="A99" s="224" t="s">
        <v>227</v>
      </c>
      <c r="B99" s="297">
        <v>0.1</v>
      </c>
      <c r="C99" s="299">
        <f>(C$22+C$51+C$61+C$85+C$94+C$98)*$B99</f>
        <v>478.97493851577639</v>
      </c>
      <c r="D99" s="299">
        <f>(D$22+D$51+D$61+D$85+D$94+D$98)*$B99</f>
        <v>478.97493851577639</v>
      </c>
    </row>
    <row r="100" spans="1:4" ht="15.75" customHeight="1" x14ac:dyDescent="0.2">
      <c r="A100" s="300" t="s">
        <v>228</v>
      </c>
      <c r="B100" s="301">
        <f>B101+B102</f>
        <v>6.6500000000000004E-2</v>
      </c>
      <c r="C100" s="302">
        <f>((C$22+C$51+C$61+C$85+C$94+C$98+C$99)/(1-($B100)))*$B100</f>
        <v>375.32958492157525</v>
      </c>
      <c r="D100" s="302">
        <f>((D$22+D$51+D$61+D$85+D$94+D$98+D$99)/(1-($B100)))*$B100</f>
        <v>375.32958492157525</v>
      </c>
    </row>
    <row r="101" spans="1:4" ht="15.75" customHeight="1" x14ac:dyDescent="0.2">
      <c r="A101" s="303" t="s">
        <v>229</v>
      </c>
      <c r="B101" s="297">
        <v>3.6499999999999998E-2</v>
      </c>
      <c r="C101" s="299">
        <f>((C$22+C$51+C$61+C$85+C$94+C$98+C$99)/(1-($B$100)))*$B101</f>
        <v>206.00796766372173</v>
      </c>
      <c r="D101" s="299">
        <f>((D$22+D$51+D$61+D$85+D$94+D$98+D$99)/(1-($B$100)))*$B101</f>
        <v>206.00796766372173</v>
      </c>
    </row>
    <row r="102" spans="1:4" ht="15.75" customHeight="1" x14ac:dyDescent="0.2">
      <c r="A102" s="303" t="s">
        <v>230</v>
      </c>
      <c r="B102" s="275">
        <v>0.03</v>
      </c>
      <c r="C102" s="299">
        <f>((C$22+C$51+C$61+C$85+C$94+C$98+C$99)/(1-($B$100)))*$B102</f>
        <v>169.32161725785346</v>
      </c>
      <c r="D102" s="299">
        <f>((D$22+D$51+D$61+D$85+D$94+D$98+D$99)/(1-($B$100)))*$B102</f>
        <v>169.32161725785346</v>
      </c>
    </row>
    <row r="103" spans="1:4" ht="15.75" customHeight="1" x14ac:dyDescent="0.2">
      <c r="A103" s="300" t="s">
        <v>231</v>
      </c>
      <c r="B103" s="301">
        <f>B104+B105</f>
        <v>8.6499999999999994E-2</v>
      </c>
      <c r="C103" s="302">
        <f>((C$22+C$51+C$61+C$85+C$94+C$98+C$99)/(1-($B103)))*$B103</f>
        <v>498.8994570309373</v>
      </c>
      <c r="D103" s="302">
        <f>((D$22+D$51+D$61+D$85+D$94+D$98+D$99)/(1-($B103)))*$B103</f>
        <v>498.8994570309373</v>
      </c>
    </row>
    <row r="104" spans="1:4" ht="15.75" customHeight="1" x14ac:dyDescent="0.2">
      <c r="A104" s="303" t="s">
        <v>229</v>
      </c>
      <c r="B104" s="275">
        <f>B101</f>
        <v>3.6499999999999998E-2</v>
      </c>
      <c r="C104" s="299">
        <f>((C$22+C$51+C$61+C$85+C$94+C$98+C$99)/(1-($B$103)))*$B104</f>
        <v>210.51826799571344</v>
      </c>
      <c r="D104" s="299">
        <f>((D$22+D$51+D$61+D$85+D$94+D$98+D$99)/(1-($B$103)))*$B104</f>
        <v>210.51826799571344</v>
      </c>
    </row>
    <row r="105" spans="1:4" ht="15.75" customHeight="1" x14ac:dyDescent="0.2">
      <c r="A105" s="303" t="s">
        <v>230</v>
      </c>
      <c r="B105" s="275">
        <v>0.05</v>
      </c>
      <c r="C105" s="299">
        <f>((C$22+C$51+C$61+C$85+C$94+C$98+C$99)/(1-($B$103)))*$B105</f>
        <v>288.38118903522394</v>
      </c>
      <c r="D105" s="299">
        <f>((D$22+D$51+D$61+D$85+D$94+D$98+D$99)/(1-($B$103)))*$B105</f>
        <v>288.38118903522394</v>
      </c>
    </row>
    <row r="106" spans="1:4" ht="15.75" customHeight="1" x14ac:dyDescent="0.2">
      <c r="A106" s="657" t="s">
        <v>232</v>
      </c>
      <c r="B106" s="304">
        <f>B102</f>
        <v>0.03</v>
      </c>
      <c r="C106" s="235">
        <f>SUM(C98:C100)</f>
        <v>1082.3878274924832</v>
      </c>
      <c r="D106" s="235">
        <f>SUM(D98:D100)</f>
        <v>1082.3878274924832</v>
      </c>
    </row>
    <row r="107" spans="1:4" ht="15.75" customHeight="1" x14ac:dyDescent="0.2">
      <c r="A107" s="657"/>
      <c r="B107" s="304">
        <f>B105</f>
        <v>0.05</v>
      </c>
      <c r="C107" s="235">
        <f>SUM(C98,C99,C103)</f>
        <v>1205.9576996018454</v>
      </c>
      <c r="D107" s="235">
        <f>SUM(D98,D99,D103)</f>
        <v>1205.9576996018454</v>
      </c>
    </row>
    <row r="108" spans="1:4" ht="15.75" customHeight="1" x14ac:dyDescent="0.2">
      <c r="A108" s="271"/>
      <c r="B108" s="288"/>
      <c r="C108" s="238"/>
      <c r="D108" s="238"/>
    </row>
    <row r="109" spans="1:4" ht="15.75" customHeight="1" x14ac:dyDescent="0.2">
      <c r="A109" s="236"/>
      <c r="B109" s="237"/>
      <c r="C109" s="237"/>
      <c r="D109" s="237"/>
    </row>
    <row r="110" spans="1:4" ht="26.45" customHeight="1" x14ac:dyDescent="0.2">
      <c r="A110" s="658" t="s">
        <v>233</v>
      </c>
      <c r="B110" s="658"/>
      <c r="C110" s="305" t="s">
        <v>234</v>
      </c>
      <c r="D110" s="305" t="s">
        <v>235</v>
      </c>
    </row>
    <row r="111" spans="1:4" ht="15" customHeight="1" x14ac:dyDescent="0.2">
      <c r="A111" s="659" t="s">
        <v>236</v>
      </c>
      <c r="B111" s="659"/>
      <c r="C111" s="306" t="s">
        <v>156</v>
      </c>
      <c r="D111" s="306" t="s">
        <v>156</v>
      </c>
    </row>
    <row r="112" spans="1:4" ht="15" customHeight="1" x14ac:dyDescent="0.2">
      <c r="A112" s="656" t="s">
        <v>237</v>
      </c>
      <c r="B112" s="656"/>
      <c r="C112" s="307">
        <f>C22</f>
        <v>2202.4</v>
      </c>
      <c r="D112" s="307">
        <f>D22</f>
        <v>2202.4</v>
      </c>
    </row>
    <row r="113" spans="1:5" ht="15" customHeight="1" x14ac:dyDescent="0.2">
      <c r="A113" s="656" t="s">
        <v>238</v>
      </c>
      <c r="B113" s="656"/>
      <c r="C113" s="307">
        <f>C51</f>
        <v>1777.2940000000001</v>
      </c>
      <c r="D113" s="307">
        <f>D51</f>
        <v>1777.2940000000001</v>
      </c>
    </row>
    <row r="114" spans="1:5" ht="15" customHeight="1" x14ac:dyDescent="0.2">
      <c r="A114" s="656" t="s">
        <v>239</v>
      </c>
      <c r="B114" s="656"/>
      <c r="C114" s="307">
        <f>C61</f>
        <v>144.25720000000001</v>
      </c>
      <c r="D114" s="307">
        <f>D61</f>
        <v>144.25720000000001</v>
      </c>
    </row>
    <row r="115" spans="1:5" ht="15" customHeight="1" x14ac:dyDescent="0.2">
      <c r="A115" s="656" t="s">
        <v>240</v>
      </c>
      <c r="B115" s="656"/>
      <c r="C115" s="307">
        <f>C85</f>
        <v>356.00488110263205</v>
      </c>
      <c r="D115" s="307">
        <f>D85</f>
        <v>356.00488110263205</v>
      </c>
    </row>
    <row r="116" spans="1:5" ht="15.75" customHeight="1" x14ac:dyDescent="0.2">
      <c r="A116" s="656" t="s">
        <v>241</v>
      </c>
      <c r="B116" s="656"/>
      <c r="C116" s="307">
        <f>C94</f>
        <v>81.709999999999994</v>
      </c>
      <c r="D116" s="307">
        <f>D94</f>
        <v>81.709999999999994</v>
      </c>
    </row>
    <row r="117" spans="1:5" ht="15.75" customHeight="1" x14ac:dyDescent="0.2">
      <c r="A117" s="661" t="s">
        <v>242</v>
      </c>
      <c r="B117" s="661"/>
      <c r="C117" s="308">
        <f>SUM(C112:C116)</f>
        <v>4561.6660811026322</v>
      </c>
      <c r="D117" s="308">
        <f>SUM(D112:D116)</f>
        <v>4561.6660811026322</v>
      </c>
    </row>
    <row r="118" spans="1:5" ht="15.75" customHeight="1" x14ac:dyDescent="0.2">
      <c r="A118" s="656" t="s">
        <v>243</v>
      </c>
      <c r="B118" s="656"/>
      <c r="C118" s="307">
        <f>C106</f>
        <v>1082.3878274924832</v>
      </c>
      <c r="D118" s="307">
        <f>D106</f>
        <v>1082.3878274924832</v>
      </c>
    </row>
    <row r="119" spans="1:5" ht="15.75" customHeight="1" x14ac:dyDescent="0.2">
      <c r="A119" s="656" t="s">
        <v>244</v>
      </c>
      <c r="B119" s="656"/>
      <c r="C119" s="307">
        <f>C107</f>
        <v>1205.9576996018454</v>
      </c>
      <c r="D119" s="307">
        <f>D107</f>
        <v>1205.9576996018454</v>
      </c>
    </row>
    <row r="120" spans="1:5" ht="15.75" customHeight="1" x14ac:dyDescent="0.2">
      <c r="A120" s="662" t="s">
        <v>245</v>
      </c>
      <c r="B120" s="305" t="s">
        <v>246</v>
      </c>
      <c r="C120" s="309">
        <f>TRUNC(SUM(C117,C118),2)</f>
        <v>5644.05</v>
      </c>
      <c r="D120" s="309">
        <f>TRUNC(SUM(D117,D118),2)</f>
        <v>5644.05</v>
      </c>
    </row>
    <row r="121" spans="1:5" ht="15.75" customHeight="1" x14ac:dyDescent="0.2">
      <c r="A121" s="662"/>
      <c r="B121" s="305" t="s">
        <v>247</v>
      </c>
      <c r="C121" s="309">
        <f>TRUNC(SUM(C117,C119),2)</f>
        <v>5767.62</v>
      </c>
      <c r="D121" s="309">
        <f>TRUNC(SUM(D117,D119),2)</f>
        <v>5767.62</v>
      </c>
    </row>
    <row r="122" spans="1:5" ht="15.75" customHeight="1" x14ac:dyDescent="0.2">
      <c r="A122" s="663" t="s">
        <v>458</v>
      </c>
      <c r="B122" s="305" t="str">
        <f>B120</f>
        <v>ISS 3,00%</v>
      </c>
      <c r="C122" s="309">
        <f>C120/220*8.8</f>
        <v>225.76200000000003</v>
      </c>
      <c r="D122" s="309">
        <f>D120/220*8.8</f>
        <v>225.76200000000003</v>
      </c>
      <c r="E122" s="310"/>
    </row>
    <row r="123" spans="1:5" ht="14.65" customHeight="1" x14ac:dyDescent="0.2">
      <c r="A123" s="664"/>
      <c r="B123" s="305" t="str">
        <f>B121</f>
        <v>ISS 5,00%</v>
      </c>
      <c r="C123" s="309">
        <f>C121/220*8.8</f>
        <v>230.70480000000003</v>
      </c>
      <c r="D123" s="309">
        <f>D121/220*8.8</f>
        <v>230.70480000000003</v>
      </c>
      <c r="E123" s="310"/>
    </row>
    <row r="125" spans="1:5" ht="55.9" customHeight="1" x14ac:dyDescent="0.2">
      <c r="A125" s="660" t="s">
        <v>248</v>
      </c>
      <c r="B125" s="660"/>
      <c r="C125" s="660"/>
      <c r="D125" s="660"/>
    </row>
  </sheetData>
  <mergeCells count="25">
    <mergeCell ref="A125:D125"/>
    <mergeCell ref="A116:B116"/>
    <mergeCell ref="A117:B117"/>
    <mergeCell ref="A118:B118"/>
    <mergeCell ref="A119:B119"/>
    <mergeCell ref="A120:A121"/>
    <mergeCell ref="A122:A123"/>
    <mergeCell ref="A115:B115"/>
    <mergeCell ref="A24:D24"/>
    <mergeCell ref="A53:D53"/>
    <mergeCell ref="A63:D63"/>
    <mergeCell ref="A87:D87"/>
    <mergeCell ref="A96:D96"/>
    <mergeCell ref="A106:A107"/>
    <mergeCell ref="A110:B110"/>
    <mergeCell ref="A111:B111"/>
    <mergeCell ref="A112:B112"/>
    <mergeCell ref="A113:B113"/>
    <mergeCell ref="A114:B114"/>
    <mergeCell ref="A13:D13"/>
    <mergeCell ref="A6:D6"/>
    <mergeCell ref="A1:D1"/>
    <mergeCell ref="A2:D2"/>
    <mergeCell ref="A3:D3"/>
    <mergeCell ref="A4:D4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8"/>
  <sheetViews>
    <sheetView topLeftCell="A100" workbookViewId="0">
      <selection activeCell="D5" sqref="D1:D1048576"/>
    </sheetView>
  </sheetViews>
  <sheetFormatPr defaultRowHeight="12.75" customHeight="1" x14ac:dyDescent="0.2"/>
  <cols>
    <col min="1" max="1" width="63.5" style="203" customWidth="1"/>
    <col min="2" max="2" width="18.625" style="203" customWidth="1"/>
    <col min="3" max="3" width="17.75" style="203" customWidth="1"/>
    <col min="4" max="4" width="17.875" style="203" customWidth="1"/>
    <col min="5" max="25" width="8.625" style="203" customWidth="1"/>
    <col min="26" max="64" width="8.625" style="204" customWidth="1"/>
  </cols>
  <sheetData>
    <row r="1" spans="1:4" ht="19.350000000000001" customHeight="1" x14ac:dyDescent="0.2">
      <c r="A1" s="665" t="s">
        <v>475</v>
      </c>
      <c r="B1" s="665"/>
      <c r="C1" s="665"/>
      <c r="D1" s="665"/>
    </row>
    <row r="2" spans="1:4" ht="14.65" customHeight="1" x14ac:dyDescent="0.2">
      <c r="A2" s="666" t="s">
        <v>71</v>
      </c>
      <c r="B2" s="666"/>
      <c r="C2" s="666"/>
      <c r="D2" s="666"/>
    </row>
    <row r="3" spans="1:4" ht="14.65" customHeight="1" x14ac:dyDescent="0.2">
      <c r="A3" s="667" t="s">
        <v>72</v>
      </c>
      <c r="B3" s="667"/>
      <c r="C3" s="667"/>
      <c r="D3" s="667"/>
    </row>
    <row r="4" spans="1:4" ht="24.4" customHeight="1" x14ac:dyDescent="0.2">
      <c r="A4" s="590" t="s">
        <v>140</v>
      </c>
      <c r="B4" s="590"/>
      <c r="C4" s="590"/>
      <c r="D4" s="590"/>
    </row>
    <row r="5" spans="1:4" ht="14.65" customHeight="1" x14ac:dyDescent="0.2">
      <c r="A5" s="461"/>
      <c r="B5" s="461"/>
      <c r="C5" s="461"/>
      <c r="D5" s="461"/>
    </row>
    <row r="6" spans="1:4" ht="17.100000000000001" customHeight="1" x14ac:dyDescent="0.2">
      <c r="A6" s="648" t="s">
        <v>141</v>
      </c>
      <c r="B6" s="648"/>
      <c r="C6" s="648"/>
      <c r="D6" s="648"/>
    </row>
    <row r="7" spans="1:4" ht="15.75" customHeight="1" x14ac:dyDescent="0.2">
      <c r="A7" s="205"/>
      <c r="B7" s="206" t="s">
        <v>142</v>
      </c>
      <c r="C7" s="207">
        <v>2202.4</v>
      </c>
      <c r="D7" s="207">
        <v>2202.4</v>
      </c>
    </row>
    <row r="8" spans="1:4" ht="14.65" customHeight="1" x14ac:dyDescent="0.2">
      <c r="A8" s="208"/>
      <c r="B8" s="209" t="s">
        <v>143</v>
      </c>
      <c r="C8" s="210">
        <v>44774</v>
      </c>
      <c r="D8" s="210">
        <f>C8</f>
        <v>44774</v>
      </c>
    </row>
    <row r="9" spans="1:4" ht="14.65" customHeight="1" x14ac:dyDescent="0.2">
      <c r="A9" s="211" t="s">
        <v>438</v>
      </c>
      <c r="B9" s="209" t="s">
        <v>144</v>
      </c>
      <c r="C9" s="212" t="s">
        <v>145</v>
      </c>
      <c r="D9" s="212" t="str">
        <f>C9</f>
        <v>PR002526/2022</v>
      </c>
    </row>
    <row r="10" spans="1:4" ht="14.65" customHeight="1" x14ac:dyDescent="0.2">
      <c r="A10" s="213"/>
      <c r="B10" s="214" t="s">
        <v>146</v>
      </c>
      <c r="C10" s="215" t="s">
        <v>147</v>
      </c>
      <c r="D10" s="215" t="s">
        <v>148</v>
      </c>
    </row>
    <row r="11" spans="1:4" ht="12.75" customHeight="1" x14ac:dyDescent="0.2">
      <c r="A11" s="216"/>
      <c r="B11" s="217"/>
      <c r="C11" s="218"/>
      <c r="D11" s="218"/>
    </row>
    <row r="12" spans="1:4" ht="45" customHeight="1" x14ac:dyDescent="0.2">
      <c r="A12" s="219" t="s">
        <v>149</v>
      </c>
      <c r="B12" s="220" t="s">
        <v>150</v>
      </c>
      <c r="C12" s="220" t="s">
        <v>151</v>
      </c>
      <c r="D12" s="220" t="s">
        <v>152</v>
      </c>
    </row>
    <row r="13" spans="1:4" ht="16.5" customHeight="1" x14ac:dyDescent="0.2">
      <c r="A13" s="647" t="s">
        <v>153</v>
      </c>
      <c r="B13" s="647"/>
      <c r="C13" s="647"/>
      <c r="D13" s="647"/>
    </row>
    <row r="14" spans="1:4" ht="15.75" customHeight="1" x14ac:dyDescent="0.2">
      <c r="A14" s="221" t="s">
        <v>154</v>
      </c>
      <c r="B14" s="222" t="s">
        <v>155</v>
      </c>
      <c r="C14" s="223" t="s">
        <v>156</v>
      </c>
      <c r="D14" s="223" t="s">
        <v>156</v>
      </c>
    </row>
    <row r="15" spans="1:4" ht="15.75" customHeight="1" x14ac:dyDescent="0.25">
      <c r="A15" s="224" t="s">
        <v>157</v>
      </c>
      <c r="B15" s="225"/>
      <c r="C15" s="226">
        <f>C7</f>
        <v>2202.4</v>
      </c>
      <c r="D15" s="226">
        <f>D7</f>
        <v>2202.4</v>
      </c>
    </row>
    <row r="16" spans="1:4" ht="15.75" customHeight="1" x14ac:dyDescent="0.25">
      <c r="A16" s="224" t="s">
        <v>158</v>
      </c>
      <c r="B16" s="227"/>
      <c r="C16" s="228">
        <v>0</v>
      </c>
      <c r="D16" s="228">
        <v>0</v>
      </c>
    </row>
    <row r="17" spans="1:64" ht="15.75" customHeight="1" x14ac:dyDescent="0.25">
      <c r="A17" s="224" t="s">
        <v>159</v>
      </c>
      <c r="B17" s="229"/>
      <c r="C17" s="226">
        <v>0</v>
      </c>
      <c r="D17" s="226">
        <v>0</v>
      </c>
    </row>
    <row r="18" spans="1:64" ht="15.75" customHeight="1" x14ac:dyDescent="0.25">
      <c r="A18" s="230" t="s">
        <v>160</v>
      </c>
      <c r="B18" s="227"/>
      <c r="C18" s="231"/>
      <c r="D18" s="231"/>
    </row>
    <row r="19" spans="1:64" ht="15.75" customHeight="1" x14ac:dyDescent="0.25">
      <c r="A19" s="224" t="s">
        <v>161</v>
      </c>
      <c r="B19" s="229"/>
      <c r="C19" s="226"/>
      <c r="D19" s="226"/>
    </row>
    <row r="20" spans="1:64" ht="15.75" customHeight="1" x14ac:dyDescent="0.25">
      <c r="A20" s="230" t="s">
        <v>162</v>
      </c>
      <c r="B20" s="227"/>
      <c r="C20" s="231"/>
      <c r="D20" s="231"/>
    </row>
    <row r="21" spans="1:64" ht="15.75" customHeight="1" x14ac:dyDescent="0.25">
      <c r="A21" s="224" t="s">
        <v>163</v>
      </c>
      <c r="B21" s="232"/>
      <c r="C21" s="226"/>
      <c r="D21" s="226"/>
    </row>
    <row r="22" spans="1:64" ht="15.75" customHeight="1" x14ac:dyDescent="0.2">
      <c r="A22" s="233" t="s">
        <v>164</v>
      </c>
      <c r="B22" s="234"/>
      <c r="C22" s="235">
        <f>SUM(C15:C21)</f>
        <v>2202.4</v>
      </c>
      <c r="D22" s="235">
        <f>SUM(D15:D21)</f>
        <v>2202.4</v>
      </c>
    </row>
    <row r="23" spans="1:64" ht="15.75" customHeight="1" x14ac:dyDescent="0.2">
      <c r="A23" s="236"/>
      <c r="B23" s="237"/>
      <c r="C23" s="238"/>
      <c r="D23" s="238"/>
    </row>
    <row r="24" spans="1:64" ht="16.149999999999999" customHeight="1" x14ac:dyDescent="0.2">
      <c r="A24" s="647" t="s">
        <v>165</v>
      </c>
      <c r="B24" s="647"/>
      <c r="C24" s="647"/>
      <c r="D24" s="647"/>
    </row>
    <row r="25" spans="1:64" ht="15.75" customHeight="1" x14ac:dyDescent="0.2">
      <c r="A25" s="239" t="s">
        <v>166</v>
      </c>
      <c r="B25" s="240" t="s">
        <v>167</v>
      </c>
      <c r="C25" s="240" t="s">
        <v>156</v>
      </c>
      <c r="D25" s="240" t="s">
        <v>156</v>
      </c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  <c r="BI25" s="216"/>
      <c r="BJ25" s="216"/>
      <c r="BK25" s="216"/>
      <c r="BL25" s="216"/>
    </row>
    <row r="26" spans="1:64" ht="15.75" customHeight="1" x14ac:dyDescent="0.2">
      <c r="A26" s="241" t="s">
        <v>168</v>
      </c>
      <c r="B26" s="242">
        <f>1/12</f>
        <v>8.3333333333333329E-2</v>
      </c>
      <c r="C26" s="243">
        <f>$B26*C15</f>
        <v>183.53333333333333</v>
      </c>
      <c r="D26" s="243">
        <f>$B26*D15</f>
        <v>183.53333333333333</v>
      </c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  <c r="BI26" s="216"/>
      <c r="BJ26" s="216"/>
      <c r="BK26" s="216"/>
      <c r="BL26" s="216"/>
    </row>
    <row r="27" spans="1:64" ht="15.75" customHeight="1" x14ac:dyDescent="0.2">
      <c r="A27" s="224" t="s">
        <v>169</v>
      </c>
      <c r="B27" s="244">
        <f>1/3*1/12</f>
        <v>2.7777777777777776E-2</v>
      </c>
      <c r="C27" s="245">
        <f>C15*$B27</f>
        <v>61.177777777777777</v>
      </c>
      <c r="D27" s="245">
        <f>D15*$B27</f>
        <v>61.177777777777777</v>
      </c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  <c r="BI27" s="216"/>
      <c r="BJ27" s="216"/>
      <c r="BK27" s="216"/>
      <c r="BL27" s="216"/>
    </row>
    <row r="28" spans="1:64" ht="15.75" customHeight="1" x14ac:dyDescent="0.2">
      <c r="A28" s="246" t="s">
        <v>170</v>
      </c>
      <c r="B28" s="247">
        <f>SUM(B26:B27)</f>
        <v>0.1111111111111111</v>
      </c>
      <c r="C28" s="235">
        <f>SUM(C26:C27)</f>
        <v>244.71111111111111</v>
      </c>
      <c r="D28" s="235">
        <f>SUM(D26:D27)</f>
        <v>244.71111111111111</v>
      </c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  <c r="BI28" s="216"/>
      <c r="BJ28" s="216"/>
      <c r="BK28" s="216"/>
      <c r="BL28" s="216"/>
    </row>
    <row r="29" spans="1:64" ht="27.6" customHeight="1" x14ac:dyDescent="0.2">
      <c r="A29" s="248" t="s">
        <v>171</v>
      </c>
      <c r="B29" s="249" t="s">
        <v>167</v>
      </c>
      <c r="C29" s="249" t="s">
        <v>156</v>
      </c>
      <c r="D29" s="249" t="s">
        <v>156</v>
      </c>
    </row>
    <row r="30" spans="1:64" ht="15.75" customHeight="1" x14ac:dyDescent="0.2">
      <c r="A30" s="224" t="s">
        <v>172</v>
      </c>
      <c r="B30" s="250">
        <v>0.2</v>
      </c>
      <c r="C30" s="251">
        <f t="shared" ref="C30:C37" si="0">($C$22+$C$28)*$B30</f>
        <v>489.42222222222227</v>
      </c>
      <c r="D30" s="251">
        <f t="shared" ref="D30:D37" si="1">($D$22+$D$28)*$B30</f>
        <v>489.42222222222227</v>
      </c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</row>
    <row r="31" spans="1:64" ht="15.75" customHeight="1" x14ac:dyDescent="0.2">
      <c r="A31" s="224" t="s">
        <v>173</v>
      </c>
      <c r="B31" s="250">
        <v>2.5000000000000001E-2</v>
      </c>
      <c r="C31" s="251">
        <f t="shared" si="0"/>
        <v>61.177777777777784</v>
      </c>
      <c r="D31" s="251">
        <f t="shared" si="1"/>
        <v>61.177777777777784</v>
      </c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</row>
    <row r="32" spans="1:64" ht="15.75" customHeight="1" x14ac:dyDescent="0.2">
      <c r="A32" s="224" t="s">
        <v>174</v>
      </c>
      <c r="B32" s="254">
        <v>0.03</v>
      </c>
      <c r="C32" s="251">
        <f t="shared" si="0"/>
        <v>73.413333333333341</v>
      </c>
      <c r="D32" s="251">
        <f t="shared" si="1"/>
        <v>73.413333333333341</v>
      </c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</row>
    <row r="33" spans="1:64" ht="15.75" customHeight="1" x14ac:dyDescent="0.2">
      <c r="A33" s="224" t="s">
        <v>175</v>
      </c>
      <c r="B33" s="250">
        <v>1.4999999999999999E-2</v>
      </c>
      <c r="C33" s="251">
        <f t="shared" si="0"/>
        <v>36.706666666666671</v>
      </c>
      <c r="D33" s="251">
        <f t="shared" si="1"/>
        <v>36.706666666666671</v>
      </c>
      <c r="E33" s="252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</row>
    <row r="34" spans="1:64" ht="15.75" customHeight="1" x14ac:dyDescent="0.2">
      <c r="A34" s="224" t="s">
        <v>176</v>
      </c>
      <c r="B34" s="250">
        <v>0.01</v>
      </c>
      <c r="C34" s="251">
        <f t="shared" si="0"/>
        <v>24.471111111111114</v>
      </c>
      <c r="D34" s="251">
        <f t="shared" si="1"/>
        <v>24.471111111111114</v>
      </c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</row>
    <row r="35" spans="1:64" ht="15.75" customHeight="1" x14ac:dyDescent="0.2">
      <c r="A35" s="224" t="s">
        <v>177</v>
      </c>
      <c r="B35" s="250">
        <v>6.0000000000000001E-3</v>
      </c>
      <c r="C35" s="251">
        <f t="shared" si="0"/>
        <v>14.682666666666668</v>
      </c>
      <c r="D35" s="251">
        <f t="shared" si="1"/>
        <v>14.682666666666668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</row>
    <row r="36" spans="1:64" ht="15.75" customHeight="1" x14ac:dyDescent="0.2">
      <c r="A36" s="224" t="s">
        <v>178</v>
      </c>
      <c r="B36" s="250">
        <v>2E-3</v>
      </c>
      <c r="C36" s="251">
        <f t="shared" si="0"/>
        <v>4.8942222222222229</v>
      </c>
      <c r="D36" s="251">
        <f t="shared" si="1"/>
        <v>4.8942222222222229</v>
      </c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  <c r="BI36" s="253"/>
      <c r="BJ36" s="253"/>
      <c r="BK36" s="253"/>
      <c r="BL36" s="253"/>
    </row>
    <row r="37" spans="1:64" ht="15.75" customHeight="1" x14ac:dyDescent="0.2">
      <c r="A37" s="224" t="s">
        <v>179</v>
      </c>
      <c r="B37" s="250">
        <v>0.08</v>
      </c>
      <c r="C37" s="251">
        <f t="shared" si="0"/>
        <v>195.76888888888891</v>
      </c>
      <c r="D37" s="251">
        <f t="shared" si="1"/>
        <v>195.76888888888891</v>
      </c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253"/>
      <c r="BJ37" s="253"/>
      <c r="BK37" s="253"/>
      <c r="BL37" s="253"/>
    </row>
    <row r="38" spans="1:64" ht="15.75" customHeight="1" x14ac:dyDescent="0.2">
      <c r="A38" s="246" t="s">
        <v>170</v>
      </c>
      <c r="B38" s="247">
        <f>SUM(B30:B37)</f>
        <v>0.36800000000000005</v>
      </c>
      <c r="C38" s="255">
        <f>SUM(C30:C37)</f>
        <v>900.53688888888894</v>
      </c>
      <c r="D38" s="255">
        <f>SUM(D30:D37)</f>
        <v>900.53688888888894</v>
      </c>
    </row>
    <row r="39" spans="1:64" ht="15.75" customHeight="1" x14ac:dyDescent="0.2">
      <c r="A39" s="256" t="s">
        <v>180</v>
      </c>
      <c r="B39" s="249" t="s">
        <v>181</v>
      </c>
      <c r="C39" s="257" t="s">
        <v>156</v>
      </c>
      <c r="D39" s="257" t="s">
        <v>156</v>
      </c>
    </row>
    <row r="40" spans="1:64" ht="15.75" customHeight="1" x14ac:dyDescent="0.25">
      <c r="A40" s="224" t="s">
        <v>182</v>
      </c>
      <c r="B40" s="258">
        <f>'VT, Uniforme e Plano Celular'!E12</f>
        <v>5.5</v>
      </c>
      <c r="C40" s="259">
        <f>((2*22*$B$40)-0.06*C22)</f>
        <v>109.85599999999999</v>
      </c>
      <c r="D40" s="259">
        <f>((2*22*$B$40)-0.06*D22)</f>
        <v>109.85599999999999</v>
      </c>
    </row>
    <row r="41" spans="1:64" ht="15.75" customHeight="1" x14ac:dyDescent="0.2">
      <c r="A41" s="224" t="s">
        <v>183</v>
      </c>
      <c r="B41" s="260">
        <v>28</v>
      </c>
      <c r="C41" s="245">
        <f>($B$41*0.9)*22</f>
        <v>554.4</v>
      </c>
      <c r="D41" s="245">
        <f>($B$41*0.9)*22</f>
        <v>554.4</v>
      </c>
    </row>
    <row r="42" spans="1:64" ht="15.75" customHeight="1" x14ac:dyDescent="0.2">
      <c r="A42" s="261" t="s">
        <v>184</v>
      </c>
      <c r="B42" s="260"/>
      <c r="C42" s="245"/>
      <c r="D42" s="245"/>
    </row>
    <row r="43" spans="1:64" ht="15.75" customHeight="1" x14ac:dyDescent="0.2">
      <c r="A43" s="224" t="s">
        <v>185</v>
      </c>
      <c r="B43" s="260">
        <v>24.99</v>
      </c>
      <c r="C43" s="245">
        <f>$B43</f>
        <v>24.99</v>
      </c>
      <c r="D43" s="245">
        <f>$B43</f>
        <v>24.99</v>
      </c>
    </row>
    <row r="44" spans="1:64" ht="15.75" customHeight="1" x14ac:dyDescent="0.2">
      <c r="A44" s="224" t="s">
        <v>186</v>
      </c>
      <c r="B44" s="260"/>
      <c r="C44" s="245">
        <f>B44</f>
        <v>0</v>
      </c>
      <c r="D44" s="245">
        <f>C44</f>
        <v>0</v>
      </c>
    </row>
    <row r="45" spans="1:64" ht="15.75" customHeight="1" x14ac:dyDescent="0.2">
      <c r="A45" s="224" t="s">
        <v>187</v>
      </c>
      <c r="B45" s="260"/>
      <c r="C45" s="262"/>
      <c r="D45" s="262"/>
    </row>
    <row r="46" spans="1:64" ht="15.75" customHeight="1" x14ac:dyDescent="0.2">
      <c r="A46" s="246" t="s">
        <v>170</v>
      </c>
      <c r="B46" s="235"/>
      <c r="C46" s="255">
        <f>SUM(C40:C45)</f>
        <v>689.24599999999998</v>
      </c>
      <c r="D46" s="255">
        <f>SUM(D40:D45)</f>
        <v>689.24599999999998</v>
      </c>
    </row>
    <row r="47" spans="1:64" ht="15.75" customHeight="1" x14ac:dyDescent="0.2">
      <c r="A47" s="263" t="s">
        <v>188</v>
      </c>
      <c r="B47" s="223" t="s">
        <v>155</v>
      </c>
      <c r="C47" s="264" t="s">
        <v>156</v>
      </c>
      <c r="D47" s="264" t="s">
        <v>156</v>
      </c>
    </row>
    <row r="48" spans="1:64" ht="15.75" customHeight="1" x14ac:dyDescent="0.2">
      <c r="A48" s="265" t="s">
        <v>189</v>
      </c>
      <c r="B48" s="266">
        <f>B28</f>
        <v>0.1111111111111111</v>
      </c>
      <c r="C48" s="243">
        <f>C28</f>
        <v>244.71111111111111</v>
      </c>
      <c r="D48" s="243">
        <f>D28</f>
        <v>244.71111111111111</v>
      </c>
    </row>
    <row r="49" spans="1:64" ht="15.75" customHeight="1" x14ac:dyDescent="0.2">
      <c r="A49" s="267" t="s">
        <v>190</v>
      </c>
      <c r="B49" s="268">
        <f>B38</f>
        <v>0.36800000000000005</v>
      </c>
      <c r="C49" s="245">
        <f>C38</f>
        <v>900.53688888888894</v>
      </c>
      <c r="D49" s="245">
        <f>D38</f>
        <v>900.53688888888894</v>
      </c>
    </row>
    <row r="50" spans="1:64" ht="15.75" customHeight="1" x14ac:dyDescent="0.2">
      <c r="A50" s="267" t="s">
        <v>191</v>
      </c>
      <c r="B50" s="269"/>
      <c r="C50" s="245">
        <f>C46</f>
        <v>689.24599999999998</v>
      </c>
      <c r="D50" s="245">
        <f>D46</f>
        <v>689.24599999999998</v>
      </c>
    </row>
    <row r="51" spans="1:64" ht="15.75" customHeight="1" x14ac:dyDescent="0.2">
      <c r="A51" s="233" t="s">
        <v>164</v>
      </c>
      <c r="B51" s="270"/>
      <c r="C51" s="235">
        <f>SUM(C48:C50)</f>
        <v>1834.4940000000001</v>
      </c>
      <c r="D51" s="235">
        <f>SUM(D48:D50)</f>
        <v>1834.4940000000001</v>
      </c>
    </row>
    <row r="52" spans="1:64" ht="15.75" customHeight="1" x14ac:dyDescent="0.2">
      <c r="A52" s="271"/>
      <c r="B52" s="238"/>
      <c r="C52" s="238"/>
      <c r="D52" s="238"/>
    </row>
    <row r="53" spans="1:64" ht="16.5" customHeight="1" x14ac:dyDescent="0.2">
      <c r="A53" s="647" t="s">
        <v>192</v>
      </c>
      <c r="B53" s="647"/>
      <c r="C53" s="647"/>
      <c r="D53" s="647"/>
    </row>
    <row r="54" spans="1:64" ht="15.75" customHeight="1" thickBot="1" x14ac:dyDescent="0.25">
      <c r="A54" s="221" t="s">
        <v>193</v>
      </c>
      <c r="B54" s="223" t="s">
        <v>167</v>
      </c>
      <c r="C54" s="272" t="s">
        <v>156</v>
      </c>
      <c r="D54" s="272" t="s">
        <v>156</v>
      </c>
    </row>
    <row r="55" spans="1:64" ht="15.75" customHeight="1" thickTop="1" x14ac:dyDescent="0.2">
      <c r="A55" s="224" t="s">
        <v>194</v>
      </c>
      <c r="B55" s="273">
        <f>1/12*0.05</f>
        <v>4.1666666666666666E-3</v>
      </c>
      <c r="C55" s="274">
        <f>$B55*$C$22</f>
        <v>9.1766666666666676</v>
      </c>
      <c r="D55" s="274">
        <f>$B55*$D$22</f>
        <v>9.1766666666666676</v>
      </c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  <c r="BI55" s="253"/>
      <c r="BJ55" s="253"/>
      <c r="BK55" s="253"/>
      <c r="BL55" s="253"/>
    </row>
    <row r="56" spans="1:64" ht="15.75" customHeight="1" x14ac:dyDescent="0.2">
      <c r="A56" s="230" t="s">
        <v>195</v>
      </c>
      <c r="B56" s="275">
        <f>B37*B55</f>
        <v>3.3333333333333332E-4</v>
      </c>
      <c r="C56" s="274">
        <f>$B56*$C$22</f>
        <v>0.7341333333333333</v>
      </c>
      <c r="D56" s="274">
        <f>$B56*$D$22</f>
        <v>0.7341333333333333</v>
      </c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</row>
    <row r="57" spans="1:64" ht="15.75" customHeight="1" x14ac:dyDescent="0.2">
      <c r="A57" s="224" t="s">
        <v>196</v>
      </c>
      <c r="B57" s="273">
        <v>0</v>
      </c>
      <c r="C57" s="274">
        <f>B57*$C$22</f>
        <v>0</v>
      </c>
      <c r="D57" s="274">
        <f>C57*$C$22</f>
        <v>0</v>
      </c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  <c r="BI57" s="253"/>
      <c r="BJ57" s="253"/>
      <c r="BK57" s="253"/>
      <c r="BL57" s="253"/>
    </row>
    <row r="58" spans="1:64" ht="15.75" customHeight="1" x14ac:dyDescent="0.2">
      <c r="A58" s="224" t="s">
        <v>197</v>
      </c>
      <c r="B58" s="273">
        <f>1/30*7/12</f>
        <v>1.9444444444444445E-2</v>
      </c>
      <c r="C58" s="274">
        <f>$B58*$C$22</f>
        <v>42.824444444444445</v>
      </c>
      <c r="D58" s="274">
        <f>$B58*$D$22</f>
        <v>42.824444444444445</v>
      </c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253"/>
      <c r="AT58" s="253"/>
      <c r="AU58" s="253"/>
      <c r="AV58" s="253"/>
      <c r="AW58" s="253"/>
      <c r="AX58" s="253"/>
      <c r="AY58" s="253"/>
      <c r="AZ58" s="253"/>
      <c r="BA58" s="253"/>
      <c r="BB58" s="253"/>
      <c r="BC58" s="253"/>
      <c r="BD58" s="253"/>
      <c r="BE58" s="253"/>
      <c r="BF58" s="253"/>
      <c r="BG58" s="253"/>
      <c r="BH58" s="253"/>
      <c r="BI58" s="253"/>
      <c r="BJ58" s="253"/>
      <c r="BK58" s="253"/>
      <c r="BL58" s="253"/>
    </row>
    <row r="59" spans="1:64" ht="15.75" customHeight="1" x14ac:dyDescent="0.2">
      <c r="A59" s="224" t="s">
        <v>198</v>
      </c>
      <c r="B59" s="275">
        <f>B58*B38</f>
        <v>7.1555555555555565E-3</v>
      </c>
      <c r="C59" s="274">
        <f>$B59*$C$22</f>
        <v>15.759395555555558</v>
      </c>
      <c r="D59" s="274">
        <f>$B59*$D$22</f>
        <v>15.759395555555558</v>
      </c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3"/>
      <c r="AA59" s="253"/>
      <c r="AB59" s="253"/>
      <c r="AC59" s="253"/>
      <c r="AD59" s="253"/>
      <c r="AE59" s="253"/>
      <c r="AF59" s="253"/>
      <c r="AG59" s="253"/>
      <c r="AH59" s="253"/>
      <c r="AI59" s="253"/>
      <c r="AJ59" s="253"/>
      <c r="AK59" s="253"/>
      <c r="AL59" s="253"/>
      <c r="AM59" s="253"/>
      <c r="AN59" s="253"/>
      <c r="AO59" s="253"/>
      <c r="AP59" s="253"/>
      <c r="AQ59" s="253"/>
      <c r="AR59" s="253"/>
      <c r="AS59" s="253"/>
      <c r="AT59" s="253"/>
      <c r="AU59" s="253"/>
      <c r="AV59" s="253"/>
      <c r="AW59" s="253"/>
      <c r="AX59" s="253"/>
      <c r="AY59" s="253"/>
      <c r="AZ59" s="253"/>
      <c r="BA59" s="253"/>
      <c r="BB59" s="253"/>
      <c r="BC59" s="253"/>
      <c r="BD59" s="253"/>
      <c r="BE59" s="253"/>
      <c r="BF59" s="253"/>
      <c r="BG59" s="253"/>
      <c r="BH59" s="253"/>
      <c r="BI59" s="253"/>
      <c r="BJ59" s="253"/>
      <c r="BK59" s="253"/>
      <c r="BL59" s="253"/>
    </row>
    <row r="60" spans="1:64" ht="15.75" customHeight="1" x14ac:dyDescent="0.2">
      <c r="A60" s="224" t="s">
        <v>199</v>
      </c>
      <c r="B60" s="276">
        <f>B37*0.4*0.9*(1+1/12+1/12+1/3*1/12)</f>
        <v>3.4399999999999993E-2</v>
      </c>
      <c r="C60" s="274">
        <f>$B60*$C$22</f>
        <v>75.762559999999993</v>
      </c>
      <c r="D60" s="274">
        <f>$B60*$D$22</f>
        <v>75.762559999999993</v>
      </c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253"/>
      <c r="BC60" s="253"/>
      <c r="BD60" s="253"/>
      <c r="BE60" s="253"/>
      <c r="BF60" s="253"/>
      <c r="BG60" s="253"/>
      <c r="BH60" s="253"/>
      <c r="BI60" s="253"/>
      <c r="BJ60" s="253"/>
      <c r="BK60" s="253"/>
      <c r="BL60" s="253"/>
    </row>
    <row r="61" spans="1:64" ht="15.75" customHeight="1" x14ac:dyDescent="0.2">
      <c r="A61" s="246" t="s">
        <v>164</v>
      </c>
      <c r="B61" s="277">
        <f>SUM(B55:B60)</f>
        <v>6.5500000000000003E-2</v>
      </c>
      <c r="C61" s="235">
        <f>SUM(C55:C60)</f>
        <v>144.25720000000001</v>
      </c>
      <c r="D61" s="235">
        <f>SUM(D55:D60)</f>
        <v>144.25720000000001</v>
      </c>
    </row>
    <row r="62" spans="1:64" ht="15.75" customHeight="1" x14ac:dyDescent="0.2">
      <c r="A62" s="271"/>
      <c r="B62" s="238"/>
      <c r="C62" s="238"/>
      <c r="D62" s="238"/>
    </row>
    <row r="63" spans="1:64" ht="16.149999999999999" customHeight="1" x14ac:dyDescent="0.2">
      <c r="A63" s="647" t="s">
        <v>200</v>
      </c>
      <c r="B63" s="647"/>
      <c r="C63" s="647"/>
      <c r="D63" s="647"/>
    </row>
    <row r="64" spans="1:64" ht="15.75" customHeight="1" x14ac:dyDescent="0.2">
      <c r="A64" s="278" t="s">
        <v>201</v>
      </c>
      <c r="B64" s="240" t="s">
        <v>167</v>
      </c>
      <c r="C64" s="279" t="s">
        <v>156</v>
      </c>
      <c r="D64" s="279" t="s">
        <v>156</v>
      </c>
    </row>
    <row r="65" spans="1:64" ht="15.95" customHeight="1" x14ac:dyDescent="0.2">
      <c r="A65" s="224" t="s">
        <v>202</v>
      </c>
      <c r="B65" s="244">
        <f>1/12</f>
        <v>8.3333333333333329E-2</v>
      </c>
      <c r="C65" s="251">
        <f t="shared" ref="C65:D69" si="2">(C$22+(C$51-C$40-C$41)+C$61)*$B65</f>
        <v>293.07460000000003</v>
      </c>
      <c r="D65" s="251">
        <f t="shared" si="2"/>
        <v>293.07460000000003</v>
      </c>
      <c r="E65" s="252"/>
      <c r="F65" s="252"/>
      <c r="G65" s="252"/>
      <c r="H65" s="252"/>
      <c r="I65" s="252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2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  <c r="BI65" s="253"/>
      <c r="BJ65" s="253"/>
      <c r="BK65" s="253"/>
      <c r="BL65" s="253"/>
    </row>
    <row r="66" spans="1:64" ht="15.75" customHeight="1" x14ac:dyDescent="0.2">
      <c r="A66" s="224" t="s">
        <v>203</v>
      </c>
      <c r="B66" s="244">
        <f>4.8616/30/12</f>
        <v>1.3504444444444444E-2</v>
      </c>
      <c r="C66" s="251">
        <f t="shared" si="2"/>
        <v>47.493715845333334</v>
      </c>
      <c r="D66" s="251">
        <f t="shared" si="2"/>
        <v>47.493715845333334</v>
      </c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2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253"/>
      <c r="AL66" s="253"/>
      <c r="AM66" s="253"/>
      <c r="AN66" s="253"/>
      <c r="AO66" s="253"/>
      <c r="AP66" s="253"/>
      <c r="AQ66" s="253"/>
      <c r="AR66" s="253"/>
      <c r="AS66" s="253"/>
      <c r="AT66" s="253"/>
      <c r="AU66" s="253"/>
      <c r="AV66" s="253"/>
      <c r="AW66" s="253"/>
      <c r="AX66" s="253"/>
      <c r="AY66" s="253"/>
      <c r="AZ66" s="253"/>
      <c r="BA66" s="253"/>
      <c r="BB66" s="253"/>
      <c r="BC66" s="253"/>
      <c r="BD66" s="253"/>
      <c r="BE66" s="253"/>
      <c r="BF66" s="253"/>
      <c r="BG66" s="253"/>
      <c r="BH66" s="253"/>
      <c r="BI66" s="253"/>
      <c r="BJ66" s="253"/>
      <c r="BK66" s="253"/>
      <c r="BL66" s="253"/>
    </row>
    <row r="67" spans="1:64" ht="15.75" customHeight="1" x14ac:dyDescent="0.2">
      <c r="A67" s="224" t="s">
        <v>204</v>
      </c>
      <c r="B67" s="244">
        <f>5/30/12*0.015*0.8988</f>
        <v>1.8725E-4</v>
      </c>
      <c r="C67" s="251">
        <f t="shared" si="2"/>
        <v>0.65853862620000003</v>
      </c>
      <c r="D67" s="251">
        <f t="shared" si="2"/>
        <v>0.65853862620000003</v>
      </c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52"/>
      <c r="S67" s="252"/>
      <c r="T67" s="252"/>
      <c r="U67" s="252"/>
      <c r="V67" s="252"/>
      <c r="W67" s="252"/>
      <c r="X67" s="252"/>
      <c r="Y67" s="252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3"/>
      <c r="AO67" s="253"/>
      <c r="AP67" s="253"/>
      <c r="AQ67" s="253"/>
      <c r="AR67" s="253"/>
      <c r="AS67" s="253"/>
      <c r="AT67" s="253"/>
      <c r="AU67" s="253"/>
      <c r="AV67" s="253"/>
      <c r="AW67" s="253"/>
      <c r="AX67" s="253"/>
      <c r="AY67" s="253"/>
      <c r="AZ67" s="253"/>
      <c r="BA67" s="253"/>
      <c r="BB67" s="253"/>
      <c r="BC67" s="253"/>
      <c r="BD67" s="253"/>
      <c r="BE67" s="253"/>
      <c r="BF67" s="253"/>
      <c r="BG67" s="253"/>
      <c r="BH67" s="253"/>
      <c r="BI67" s="253"/>
      <c r="BJ67" s="253"/>
      <c r="BK67" s="253"/>
      <c r="BL67" s="253"/>
    </row>
    <row r="68" spans="1:64" ht="15.75" customHeight="1" x14ac:dyDescent="0.2">
      <c r="A68" s="224" t="s">
        <v>205</v>
      </c>
      <c r="B68" s="244">
        <f>0.9659/30/12</f>
        <v>2.6830555555555553E-3</v>
      </c>
      <c r="C68" s="251">
        <f t="shared" si="2"/>
        <v>9.4360252046666666</v>
      </c>
      <c r="D68" s="251">
        <f t="shared" si="2"/>
        <v>9.4360252046666666</v>
      </c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2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3"/>
      <c r="BC68" s="253"/>
      <c r="BD68" s="253"/>
      <c r="BE68" s="253"/>
      <c r="BF68" s="253"/>
      <c r="BG68" s="253"/>
      <c r="BH68" s="253"/>
      <c r="BI68" s="253"/>
      <c r="BJ68" s="253"/>
      <c r="BK68" s="253"/>
      <c r="BL68" s="253"/>
    </row>
    <row r="69" spans="1:64" ht="15.75" customHeight="1" x14ac:dyDescent="0.2">
      <c r="A69" s="224" t="s">
        <v>163</v>
      </c>
      <c r="B69" s="244">
        <v>0</v>
      </c>
      <c r="C69" s="251">
        <f t="shared" si="2"/>
        <v>0</v>
      </c>
      <c r="D69" s="251">
        <f t="shared" si="2"/>
        <v>0</v>
      </c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2"/>
      <c r="Z69" s="253"/>
      <c r="AA69" s="253"/>
      <c r="AB69" s="253"/>
      <c r="AC69" s="253"/>
      <c r="AD69" s="253"/>
      <c r="AE69" s="253"/>
      <c r="AF69" s="253"/>
      <c r="AG69" s="253"/>
      <c r="AH69" s="253"/>
      <c r="AI69" s="253"/>
      <c r="AJ69" s="253"/>
      <c r="AK69" s="253"/>
      <c r="AL69" s="253"/>
      <c r="AM69" s="253"/>
      <c r="AN69" s="253"/>
      <c r="AO69" s="253"/>
      <c r="AP69" s="253"/>
      <c r="AQ69" s="253"/>
      <c r="AR69" s="253"/>
      <c r="AS69" s="253"/>
      <c r="AT69" s="253"/>
      <c r="AU69" s="253"/>
      <c r="AV69" s="253"/>
      <c r="AW69" s="253"/>
      <c r="AX69" s="253"/>
      <c r="AY69" s="253"/>
      <c r="AZ69" s="253"/>
      <c r="BA69" s="253"/>
      <c r="BB69" s="253"/>
      <c r="BC69" s="253"/>
      <c r="BD69" s="253"/>
      <c r="BE69" s="253"/>
      <c r="BF69" s="253"/>
      <c r="BG69" s="253"/>
      <c r="BH69" s="253"/>
      <c r="BI69" s="253"/>
      <c r="BJ69" s="253"/>
      <c r="BK69" s="253"/>
      <c r="BL69" s="253"/>
    </row>
    <row r="70" spans="1:64" ht="15.75" customHeight="1" x14ac:dyDescent="0.2">
      <c r="A70" s="246" t="s">
        <v>170</v>
      </c>
      <c r="B70" s="247">
        <f>SUM(B65:B69)</f>
        <v>9.9708083333333322E-2</v>
      </c>
      <c r="C70" s="255">
        <f>SUM(C65:C69)</f>
        <v>350.66287967620008</v>
      </c>
      <c r="D70" s="255">
        <f>SUM(D65:D69)</f>
        <v>350.66287967620008</v>
      </c>
    </row>
    <row r="71" spans="1:64" ht="15.75" customHeight="1" x14ac:dyDescent="0.2">
      <c r="A71" s="278" t="s">
        <v>206</v>
      </c>
      <c r="B71" s="280"/>
      <c r="C71" s="279" t="s">
        <v>156</v>
      </c>
      <c r="D71" s="279" t="s">
        <v>156</v>
      </c>
    </row>
    <row r="72" spans="1:64" ht="15.75" customHeight="1" x14ac:dyDescent="0.2">
      <c r="A72" s="230" t="s">
        <v>207</v>
      </c>
      <c r="B72" s="281">
        <v>0</v>
      </c>
      <c r="C72" s="282"/>
      <c r="D72" s="282"/>
      <c r="E72" s="252"/>
      <c r="F72" s="252"/>
      <c r="G72" s="252"/>
      <c r="H72" s="252"/>
      <c r="I72" s="252"/>
      <c r="J72" s="252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2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  <c r="BI72" s="253"/>
      <c r="BJ72" s="253"/>
      <c r="BK72" s="253"/>
      <c r="BL72" s="253"/>
    </row>
    <row r="73" spans="1:64" ht="15.75" customHeight="1" x14ac:dyDescent="0.2">
      <c r="A73" s="246" t="s">
        <v>170</v>
      </c>
      <c r="B73" s="247">
        <v>0</v>
      </c>
      <c r="C73" s="255"/>
      <c r="D73" s="255"/>
    </row>
    <row r="74" spans="1:64" ht="15.75" customHeight="1" x14ac:dyDescent="0.2">
      <c r="A74" s="278" t="s">
        <v>208</v>
      </c>
      <c r="B74" s="280"/>
      <c r="C74" s="279" t="s">
        <v>156</v>
      </c>
      <c r="D74" s="279" t="s">
        <v>156</v>
      </c>
    </row>
    <row r="75" spans="1:64" ht="15.75" customHeight="1" x14ac:dyDescent="0.2">
      <c r="A75" s="224" t="s">
        <v>209</v>
      </c>
      <c r="B75" s="254">
        <f>(120/30)*0.1012*0.0032</f>
        <v>1.29536E-3</v>
      </c>
      <c r="C75" s="251">
        <f>(C$22+C$51+C$61)*$B75</f>
        <v>5.4160960184320004</v>
      </c>
      <c r="D75" s="251">
        <f>(D$22+D$51+D$61)*$B75</f>
        <v>5.4160960184320004</v>
      </c>
    </row>
    <row r="76" spans="1:64" ht="15.75" customHeight="1" x14ac:dyDescent="0.2">
      <c r="A76" s="246" t="s">
        <v>164</v>
      </c>
      <c r="B76" s="247">
        <f>B75</f>
        <v>1.29536E-3</v>
      </c>
      <c r="C76" s="255">
        <f>C75</f>
        <v>5.4160960184320004</v>
      </c>
      <c r="D76" s="255">
        <f>D75</f>
        <v>5.4160960184320004</v>
      </c>
    </row>
    <row r="77" spans="1:64" ht="15.75" customHeight="1" x14ac:dyDescent="0.2">
      <c r="A77" s="278" t="s">
        <v>210</v>
      </c>
      <c r="B77" s="280"/>
      <c r="C77" s="279" t="s">
        <v>156</v>
      </c>
      <c r="D77" s="279" t="s">
        <v>156</v>
      </c>
    </row>
    <row r="78" spans="1:64" ht="15.75" customHeight="1" x14ac:dyDescent="0.2">
      <c r="A78" s="224" t="s">
        <v>211</v>
      </c>
      <c r="B78" s="254">
        <v>0</v>
      </c>
      <c r="C78" s="251"/>
      <c r="D78" s="251"/>
    </row>
    <row r="79" spans="1:64" ht="15.75" customHeight="1" x14ac:dyDescent="0.2">
      <c r="A79" s="246" t="s">
        <v>164</v>
      </c>
      <c r="B79" s="247">
        <f>B78</f>
        <v>0</v>
      </c>
      <c r="C79" s="255">
        <f>C78</f>
        <v>0</v>
      </c>
      <c r="D79" s="255">
        <f>D78</f>
        <v>0</v>
      </c>
    </row>
    <row r="80" spans="1:64" ht="15.75" customHeight="1" x14ac:dyDescent="0.2">
      <c r="A80" s="283" t="s">
        <v>212</v>
      </c>
      <c r="B80" s="223" t="s">
        <v>155</v>
      </c>
      <c r="C80" s="284" t="s">
        <v>156</v>
      </c>
      <c r="D80" s="284" t="s">
        <v>156</v>
      </c>
    </row>
    <row r="81" spans="1:64" ht="15.75" customHeight="1" x14ac:dyDescent="0.2">
      <c r="A81" s="285" t="s">
        <v>213</v>
      </c>
      <c r="B81" s="286">
        <f>B70</f>
        <v>9.9708083333333322E-2</v>
      </c>
      <c r="C81" s="243">
        <f>C70</f>
        <v>350.66287967620008</v>
      </c>
      <c r="D81" s="243">
        <f>D70</f>
        <v>350.66287967620008</v>
      </c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  <c r="Q81" s="252"/>
      <c r="R81" s="252"/>
      <c r="S81" s="252"/>
      <c r="T81" s="252"/>
      <c r="U81" s="252"/>
      <c r="V81" s="252"/>
      <c r="W81" s="252"/>
      <c r="X81" s="252"/>
      <c r="Y81" s="252"/>
      <c r="Z81" s="253"/>
      <c r="AA81" s="253"/>
      <c r="AB81" s="253"/>
      <c r="AC81" s="253"/>
      <c r="AD81" s="253"/>
      <c r="AE81" s="253"/>
      <c r="AF81" s="253"/>
      <c r="AG81" s="253"/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  <c r="BI81" s="253"/>
      <c r="BJ81" s="253"/>
      <c r="BK81" s="253"/>
      <c r="BL81" s="253"/>
    </row>
    <row r="82" spans="1:64" ht="15.75" customHeight="1" x14ac:dyDescent="0.2">
      <c r="A82" s="287" t="s">
        <v>214</v>
      </c>
      <c r="B82" s="286">
        <f>B73</f>
        <v>0</v>
      </c>
      <c r="C82" s="245">
        <f>C73</f>
        <v>0</v>
      </c>
      <c r="D82" s="245">
        <f>D73</f>
        <v>0</v>
      </c>
      <c r="E82" s="252"/>
      <c r="F82" s="252"/>
      <c r="G82" s="252"/>
      <c r="H82" s="252"/>
      <c r="I82" s="252"/>
      <c r="J82" s="252"/>
      <c r="K82" s="252"/>
      <c r="L82" s="252"/>
      <c r="M82" s="252"/>
      <c r="N82" s="252"/>
      <c r="O82" s="252"/>
      <c r="P82" s="252"/>
      <c r="Q82" s="252"/>
      <c r="R82" s="252"/>
      <c r="S82" s="252"/>
      <c r="T82" s="252"/>
      <c r="U82" s="252"/>
      <c r="V82" s="252"/>
      <c r="W82" s="252"/>
      <c r="X82" s="252"/>
      <c r="Y82" s="252"/>
      <c r="Z82" s="253"/>
      <c r="AA82" s="253"/>
      <c r="AB82" s="253"/>
      <c r="AC82" s="253"/>
      <c r="AD82" s="253"/>
      <c r="AE82" s="253"/>
      <c r="AF82" s="253"/>
      <c r="AG82" s="253"/>
      <c r="AH82" s="253"/>
      <c r="AI82" s="253"/>
      <c r="AJ82" s="253"/>
      <c r="AK82" s="253"/>
      <c r="AL82" s="253"/>
      <c r="AM82" s="253"/>
      <c r="AN82" s="253"/>
      <c r="AO82" s="253"/>
      <c r="AP82" s="253"/>
      <c r="AQ82" s="253"/>
      <c r="AR82" s="253"/>
      <c r="AS82" s="253"/>
      <c r="AT82" s="253"/>
      <c r="AU82" s="253"/>
      <c r="AV82" s="253"/>
      <c r="AW82" s="253"/>
      <c r="AX82" s="253"/>
      <c r="AY82" s="253"/>
      <c r="AZ82" s="253"/>
      <c r="BA82" s="253"/>
      <c r="BB82" s="253"/>
      <c r="BC82" s="253"/>
      <c r="BD82" s="253"/>
      <c r="BE82" s="253"/>
      <c r="BF82" s="253"/>
      <c r="BG82" s="253"/>
      <c r="BH82" s="253"/>
      <c r="BI82" s="253"/>
      <c r="BJ82" s="253"/>
      <c r="BK82" s="253"/>
      <c r="BL82" s="253"/>
    </row>
    <row r="83" spans="1:64" ht="15.75" customHeight="1" x14ac:dyDescent="0.2">
      <c r="A83" s="287" t="s">
        <v>215</v>
      </c>
      <c r="B83" s="286">
        <f>B76</f>
        <v>1.29536E-3</v>
      </c>
      <c r="C83" s="245">
        <f>C76</f>
        <v>5.4160960184320004</v>
      </c>
      <c r="D83" s="245">
        <f>D76</f>
        <v>5.4160960184320004</v>
      </c>
      <c r="E83" s="252"/>
      <c r="F83" s="252"/>
      <c r="G83" s="252"/>
      <c r="H83" s="252"/>
      <c r="I83" s="252"/>
      <c r="J83" s="252"/>
      <c r="K83" s="252"/>
      <c r="L83" s="252"/>
      <c r="M83" s="252"/>
      <c r="N83" s="252"/>
      <c r="O83" s="252"/>
      <c r="P83" s="252"/>
      <c r="Q83" s="252"/>
      <c r="R83" s="252"/>
      <c r="S83" s="252"/>
      <c r="T83" s="252"/>
      <c r="U83" s="252"/>
      <c r="V83" s="252"/>
      <c r="W83" s="252"/>
      <c r="X83" s="252"/>
      <c r="Y83" s="252"/>
      <c r="Z83" s="253"/>
      <c r="AA83" s="253"/>
      <c r="AB83" s="253"/>
      <c r="AC83" s="253"/>
      <c r="AD83" s="253"/>
      <c r="AE83" s="253"/>
      <c r="AF83" s="253"/>
      <c r="AG83" s="253"/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  <c r="BI83" s="253"/>
      <c r="BJ83" s="253"/>
      <c r="BK83" s="253"/>
      <c r="BL83" s="253"/>
    </row>
    <row r="84" spans="1:64" ht="15.75" customHeight="1" x14ac:dyDescent="0.2">
      <c r="A84" s="287" t="s">
        <v>216</v>
      </c>
      <c r="B84" s="286">
        <f>B79</f>
        <v>0</v>
      </c>
      <c r="C84" s="245">
        <f>C79</f>
        <v>0</v>
      </c>
      <c r="D84" s="245">
        <f>D79</f>
        <v>0</v>
      </c>
      <c r="E84" s="252"/>
      <c r="F84" s="252"/>
      <c r="G84" s="252"/>
      <c r="H84" s="252"/>
      <c r="I84" s="252"/>
      <c r="J84" s="252"/>
      <c r="K84" s="252"/>
      <c r="L84" s="252"/>
      <c r="M84" s="252"/>
      <c r="N84" s="252"/>
      <c r="O84" s="252"/>
      <c r="P84" s="252"/>
      <c r="Q84" s="252"/>
      <c r="R84" s="252"/>
      <c r="S84" s="252"/>
      <c r="T84" s="252"/>
      <c r="U84" s="252"/>
      <c r="V84" s="252"/>
      <c r="W84" s="252"/>
      <c r="X84" s="252"/>
      <c r="Y84" s="252"/>
      <c r="Z84" s="253"/>
      <c r="AA84" s="253"/>
      <c r="AB84" s="253"/>
      <c r="AC84" s="253"/>
      <c r="AD84" s="253"/>
      <c r="AE84" s="253"/>
      <c r="AF84" s="253"/>
      <c r="AG84" s="253"/>
      <c r="AH84" s="253"/>
      <c r="AI84" s="253"/>
      <c r="AJ84" s="253"/>
      <c r="AK84" s="253"/>
      <c r="AL84" s="253"/>
      <c r="AM84" s="253"/>
      <c r="AN84" s="253"/>
      <c r="AO84" s="253"/>
      <c r="AP84" s="253"/>
      <c r="AQ84" s="253"/>
      <c r="AR84" s="253"/>
      <c r="AS84" s="253"/>
      <c r="AT84" s="253"/>
      <c r="AU84" s="253"/>
      <c r="AV84" s="253"/>
      <c r="AW84" s="253"/>
      <c r="AX84" s="253"/>
      <c r="AY84" s="253"/>
      <c r="AZ84" s="253"/>
      <c r="BA84" s="253"/>
      <c r="BB84" s="253"/>
      <c r="BC84" s="253"/>
      <c r="BD84" s="253"/>
      <c r="BE84" s="253"/>
      <c r="BF84" s="253"/>
      <c r="BG84" s="253"/>
      <c r="BH84" s="253"/>
      <c r="BI84" s="253"/>
      <c r="BJ84" s="253"/>
      <c r="BK84" s="253"/>
      <c r="BL84" s="253"/>
    </row>
    <row r="85" spans="1:64" ht="15.75" customHeight="1" x14ac:dyDescent="0.2">
      <c r="A85" s="233" t="s">
        <v>164</v>
      </c>
      <c r="B85" s="277"/>
      <c r="C85" s="235">
        <f>SUM(C81:C84)</f>
        <v>356.07897569463205</v>
      </c>
      <c r="D85" s="235">
        <f>SUM(D81:D84)</f>
        <v>356.07897569463205</v>
      </c>
    </row>
    <row r="86" spans="1:64" ht="15.75" customHeight="1" x14ac:dyDescent="0.2">
      <c r="A86" s="271"/>
      <c r="B86" s="288"/>
      <c r="C86" s="238"/>
      <c r="D86" s="238"/>
    </row>
    <row r="87" spans="1:64" ht="16.5" customHeight="1" x14ac:dyDescent="0.2">
      <c r="A87" s="647" t="s">
        <v>217</v>
      </c>
      <c r="B87" s="647"/>
      <c r="C87" s="647"/>
      <c r="D87" s="647"/>
    </row>
    <row r="88" spans="1:64" ht="15.75" customHeight="1" x14ac:dyDescent="0.2">
      <c r="A88" s="289" t="s">
        <v>218</v>
      </c>
      <c r="B88" s="223" t="s">
        <v>181</v>
      </c>
      <c r="C88" s="284" t="s">
        <v>156</v>
      </c>
      <c r="D88" s="284" t="s">
        <v>156</v>
      </c>
    </row>
    <row r="89" spans="1:64" ht="15.75" customHeight="1" x14ac:dyDescent="0.25">
      <c r="A89" s="285" t="s">
        <v>219</v>
      </c>
      <c r="B89" s="290">
        <f>'VT, Uniforme e Plano Celular'!E37</f>
        <v>23.09</v>
      </c>
      <c r="C89" s="259">
        <f t="shared" ref="C89:D92" si="3">$B89</f>
        <v>23.09</v>
      </c>
      <c r="D89" s="259">
        <f t="shared" si="3"/>
        <v>23.09</v>
      </c>
    </row>
    <row r="90" spans="1:64" ht="15.75" customHeight="1" x14ac:dyDescent="0.25">
      <c r="A90" s="287" t="s">
        <v>220</v>
      </c>
      <c r="B90" s="291"/>
      <c r="C90" s="292">
        <f t="shared" si="3"/>
        <v>0</v>
      </c>
      <c r="D90" s="292">
        <f t="shared" si="3"/>
        <v>0</v>
      </c>
    </row>
    <row r="91" spans="1:64" ht="15.75" customHeight="1" x14ac:dyDescent="0.25">
      <c r="A91" s="287" t="s">
        <v>221</v>
      </c>
      <c r="B91" s="291"/>
      <c r="C91" s="292">
        <f t="shared" si="3"/>
        <v>0</v>
      </c>
      <c r="D91" s="292">
        <f t="shared" si="3"/>
        <v>0</v>
      </c>
    </row>
    <row r="92" spans="1:64" ht="15.75" customHeight="1" x14ac:dyDescent="0.25">
      <c r="A92" s="287" t="s">
        <v>222</v>
      </c>
      <c r="B92" s="291"/>
      <c r="C92" s="292">
        <f t="shared" si="3"/>
        <v>0</v>
      </c>
      <c r="D92" s="292">
        <f t="shared" si="3"/>
        <v>0</v>
      </c>
    </row>
    <row r="93" spans="1:64" ht="15.75" customHeight="1" x14ac:dyDescent="0.25">
      <c r="A93" s="293" t="s">
        <v>223</v>
      </c>
      <c r="B93" s="294">
        <f>'VT, Uniforme e Plano Celular'!D56</f>
        <v>58.62</v>
      </c>
      <c r="C93" s="292">
        <f>B93</f>
        <v>58.62</v>
      </c>
      <c r="D93" s="292">
        <f>B93</f>
        <v>58.62</v>
      </c>
    </row>
    <row r="94" spans="1:64" ht="15.75" customHeight="1" x14ac:dyDescent="0.2">
      <c r="A94" s="295" t="s">
        <v>164</v>
      </c>
      <c r="B94" s="296"/>
      <c r="C94" s="235">
        <f>SUM(C89:C93)</f>
        <v>81.709999999999994</v>
      </c>
      <c r="D94" s="235">
        <f>SUM(D89:D93)</f>
        <v>81.709999999999994</v>
      </c>
    </row>
    <row r="95" spans="1:64" ht="15.75" customHeight="1" x14ac:dyDescent="0.2">
      <c r="A95" s="271"/>
      <c r="B95" s="288"/>
      <c r="C95" s="238"/>
      <c r="D95" s="238"/>
    </row>
    <row r="96" spans="1:64" ht="16.5" customHeight="1" x14ac:dyDescent="0.2">
      <c r="A96" s="647" t="s">
        <v>224</v>
      </c>
      <c r="B96" s="647"/>
      <c r="C96" s="647"/>
      <c r="D96" s="647"/>
    </row>
    <row r="97" spans="1:4" ht="15.75" customHeight="1" thickBot="1" x14ac:dyDescent="0.25">
      <c r="A97" s="221" t="s">
        <v>225</v>
      </c>
      <c r="B97" s="223" t="s">
        <v>167</v>
      </c>
      <c r="C97" s="284" t="s">
        <v>156</v>
      </c>
      <c r="D97" s="284" t="s">
        <v>156</v>
      </c>
    </row>
    <row r="98" spans="1:4" ht="15.75" customHeight="1" thickTop="1" x14ac:dyDescent="0.2">
      <c r="A98" s="224" t="s">
        <v>226</v>
      </c>
      <c r="B98" s="297">
        <v>0.05</v>
      </c>
      <c r="C98" s="298">
        <f>(C$22+C$51+C$61+C$85+C$94)*$B98</f>
        <v>230.94700878473165</v>
      </c>
      <c r="D98" s="298">
        <f>(D$22+D$51+D$61+D$85+D$94)*$B98</f>
        <v>230.94700878473165</v>
      </c>
    </row>
    <row r="99" spans="1:4" ht="15.75" customHeight="1" x14ac:dyDescent="0.2">
      <c r="A99" s="224" t="s">
        <v>227</v>
      </c>
      <c r="B99" s="297">
        <v>0.1</v>
      </c>
      <c r="C99" s="299">
        <f>(C$22+C$51+C$61+C$85+C$94+C$98)*$B99</f>
        <v>484.98871844793644</v>
      </c>
      <c r="D99" s="299">
        <f>(D$22+D$51+D$61+D$85+D$94+D$98)*$B99</f>
        <v>484.98871844793644</v>
      </c>
    </row>
    <row r="100" spans="1:4" ht="15.75" customHeight="1" x14ac:dyDescent="0.2">
      <c r="A100" s="300" t="s">
        <v>231</v>
      </c>
      <c r="B100" s="301">
        <f>B101+B102</f>
        <v>8.6499999999999994E-2</v>
      </c>
      <c r="C100" s="302">
        <f>((C$22+C$51+C$61+C$85+C$94+C$98+C$99)/(1-($B100)))*$B100</f>
        <v>505.16339967510839</v>
      </c>
      <c r="D100" s="302">
        <f>((D$22+D$51+D$61+D$85+D$94+D$98+D$99)/(1-($B100)))*$B100</f>
        <v>505.16339967510839</v>
      </c>
    </row>
    <row r="101" spans="1:4" ht="15.75" customHeight="1" x14ac:dyDescent="0.2">
      <c r="A101" s="303" t="s">
        <v>229</v>
      </c>
      <c r="B101" s="297">
        <v>3.6499999999999998E-2</v>
      </c>
      <c r="C101" s="299">
        <f>((C$22+C$51+C$61+C$85+C$94+C$98+C$99)/(1-($B$100)))*$B101</f>
        <v>213.16143454498794</v>
      </c>
      <c r="D101" s="299">
        <f>((D$22+D$51+D$61+D$85+D$94+D$98+D$99)/(1-($B$100)))*$B101</f>
        <v>213.16143454498794</v>
      </c>
    </row>
    <row r="102" spans="1:4" ht="15.75" customHeight="1" x14ac:dyDescent="0.2">
      <c r="A102" s="303" t="s">
        <v>230</v>
      </c>
      <c r="B102" s="275">
        <v>0.05</v>
      </c>
      <c r="C102" s="299">
        <f>((C$22+C$51+C$61+C$85+C$94+C$98+C$99)/(1-($B$100)))*$B102</f>
        <v>292.00196513012048</v>
      </c>
      <c r="D102" s="299">
        <f>((D$22+D$51+D$61+D$85+D$94+D$98+D$99)/(1-($B$100)))*$B102</f>
        <v>292.00196513012048</v>
      </c>
    </row>
    <row r="103" spans="1:4" ht="15.75" customHeight="1" x14ac:dyDescent="0.2">
      <c r="A103" s="476" t="s">
        <v>232</v>
      </c>
      <c r="B103" s="304">
        <f>B102</f>
        <v>0.05</v>
      </c>
      <c r="C103" s="235">
        <f>SUM(C98:C100)</f>
        <v>1221.0991269077765</v>
      </c>
      <c r="D103" s="235">
        <f>SUM(D98:D100)</f>
        <v>1221.0991269077765</v>
      </c>
    </row>
    <row r="104" spans="1:4" ht="15.75" customHeight="1" x14ac:dyDescent="0.2">
      <c r="A104" s="271"/>
      <c r="B104" s="288"/>
      <c r="C104" s="238"/>
      <c r="D104" s="238"/>
    </row>
    <row r="105" spans="1:4" ht="15.75" customHeight="1" x14ac:dyDescent="0.2">
      <c r="A105" s="236"/>
      <c r="B105" s="237"/>
      <c r="C105" s="237"/>
      <c r="D105" s="237"/>
    </row>
    <row r="106" spans="1:4" ht="26.45" customHeight="1" x14ac:dyDescent="0.2">
      <c r="A106" s="658" t="s">
        <v>233</v>
      </c>
      <c r="B106" s="658"/>
      <c r="C106" s="462" t="s">
        <v>234</v>
      </c>
      <c r="D106" s="462" t="s">
        <v>235</v>
      </c>
    </row>
    <row r="107" spans="1:4" ht="15" customHeight="1" x14ac:dyDescent="0.2">
      <c r="A107" s="659" t="s">
        <v>236</v>
      </c>
      <c r="B107" s="659"/>
      <c r="C107" s="306" t="s">
        <v>156</v>
      </c>
      <c r="D107" s="306" t="s">
        <v>156</v>
      </c>
    </row>
    <row r="108" spans="1:4" ht="15" customHeight="1" x14ac:dyDescent="0.2">
      <c r="A108" s="656" t="s">
        <v>237</v>
      </c>
      <c r="B108" s="656"/>
      <c r="C108" s="307">
        <f>C22</f>
        <v>2202.4</v>
      </c>
      <c r="D108" s="307">
        <f>D22</f>
        <v>2202.4</v>
      </c>
    </row>
    <row r="109" spans="1:4" ht="15" customHeight="1" x14ac:dyDescent="0.2">
      <c r="A109" s="656" t="s">
        <v>238</v>
      </c>
      <c r="B109" s="656"/>
      <c r="C109" s="307">
        <f>C51</f>
        <v>1834.4940000000001</v>
      </c>
      <c r="D109" s="307">
        <f>D51</f>
        <v>1834.4940000000001</v>
      </c>
    </row>
    <row r="110" spans="1:4" ht="15" customHeight="1" x14ac:dyDescent="0.2">
      <c r="A110" s="656" t="s">
        <v>239</v>
      </c>
      <c r="B110" s="656"/>
      <c r="C110" s="307">
        <f>C61</f>
        <v>144.25720000000001</v>
      </c>
      <c r="D110" s="307">
        <f>D61</f>
        <v>144.25720000000001</v>
      </c>
    </row>
    <row r="111" spans="1:4" ht="15" customHeight="1" x14ac:dyDescent="0.2">
      <c r="A111" s="656" t="s">
        <v>240</v>
      </c>
      <c r="B111" s="656"/>
      <c r="C111" s="307">
        <f>C85</f>
        <v>356.07897569463205</v>
      </c>
      <c r="D111" s="307">
        <f>D85</f>
        <v>356.07897569463205</v>
      </c>
    </row>
    <row r="112" spans="1:4" ht="15.75" customHeight="1" x14ac:dyDescent="0.2">
      <c r="A112" s="656" t="s">
        <v>241</v>
      </c>
      <c r="B112" s="656"/>
      <c r="C112" s="307">
        <f>C94</f>
        <v>81.709999999999994</v>
      </c>
      <c r="D112" s="307">
        <f>D94</f>
        <v>81.709999999999994</v>
      </c>
    </row>
    <row r="113" spans="1:5" ht="15.75" customHeight="1" x14ac:dyDescent="0.2">
      <c r="A113" s="661" t="s">
        <v>242</v>
      </c>
      <c r="B113" s="661"/>
      <c r="C113" s="308">
        <f>SUM(C108:C112)</f>
        <v>4618.9401756946327</v>
      </c>
      <c r="D113" s="308">
        <f>SUM(D108:D112)</f>
        <v>4618.9401756946327</v>
      </c>
    </row>
    <row r="114" spans="1:5" ht="15.75" customHeight="1" x14ac:dyDescent="0.2">
      <c r="A114" s="656" t="s">
        <v>244</v>
      </c>
      <c r="B114" s="656"/>
      <c r="C114" s="307">
        <f>C103</f>
        <v>1221.0991269077765</v>
      </c>
      <c r="D114" s="307">
        <f>D103</f>
        <v>1221.0991269077765</v>
      </c>
    </row>
    <row r="115" spans="1:5" ht="15.75" customHeight="1" x14ac:dyDescent="0.2">
      <c r="A115" s="477" t="s">
        <v>245</v>
      </c>
      <c r="B115" s="462" t="s">
        <v>247</v>
      </c>
      <c r="C115" s="309">
        <f>TRUNC(SUM(C113,C114),2)</f>
        <v>5840.03</v>
      </c>
      <c r="D115" s="309">
        <f>TRUNC(SUM(D113,D114),2)</f>
        <v>5840.03</v>
      </c>
    </row>
    <row r="116" spans="1:5" ht="15.75" customHeight="1" x14ac:dyDescent="0.2">
      <c r="A116" s="477" t="s">
        <v>459</v>
      </c>
      <c r="B116" s="462" t="str">
        <f>B115</f>
        <v>ISS 5,00%</v>
      </c>
      <c r="C116" s="309">
        <f>C115/220*8.8</f>
        <v>233.60120000000001</v>
      </c>
      <c r="D116" s="309">
        <f>D115/220*8.8</f>
        <v>233.60120000000001</v>
      </c>
      <c r="E116" s="310"/>
    </row>
    <row r="118" spans="1:5" ht="55.9" customHeight="1" x14ac:dyDescent="0.2">
      <c r="A118" s="660" t="s">
        <v>248</v>
      </c>
      <c r="B118" s="660"/>
      <c r="C118" s="660"/>
      <c r="D118" s="660"/>
    </row>
  </sheetData>
  <mergeCells count="21">
    <mergeCell ref="A13:D13"/>
    <mergeCell ref="A1:D1"/>
    <mergeCell ref="A2:D2"/>
    <mergeCell ref="A3:D3"/>
    <mergeCell ref="A4:D4"/>
    <mergeCell ref="A6:D6"/>
    <mergeCell ref="A106:B106"/>
    <mergeCell ref="A107:B107"/>
    <mergeCell ref="A108:B108"/>
    <mergeCell ref="A109:B109"/>
    <mergeCell ref="A110:B110"/>
    <mergeCell ref="A24:D24"/>
    <mergeCell ref="A53:D53"/>
    <mergeCell ref="A63:D63"/>
    <mergeCell ref="A87:D87"/>
    <mergeCell ref="A96:D96"/>
    <mergeCell ref="A118:D118"/>
    <mergeCell ref="A112:B112"/>
    <mergeCell ref="A113:B113"/>
    <mergeCell ref="A114:B114"/>
    <mergeCell ref="A111:B111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2"/>
  <sheetViews>
    <sheetView workbookViewId="0">
      <selection activeCell="D5" sqref="D1:D1048576"/>
    </sheetView>
  </sheetViews>
  <sheetFormatPr defaultRowHeight="14.65" customHeight="1" x14ac:dyDescent="0.2"/>
  <cols>
    <col min="1" max="1" width="63.5" style="203" customWidth="1"/>
    <col min="2" max="2" width="18.625" style="203" customWidth="1"/>
    <col min="3" max="4" width="15.75" style="203" customWidth="1"/>
    <col min="5" max="24" width="8.625" style="203" customWidth="1"/>
    <col min="25" max="64" width="8.625" style="204" customWidth="1"/>
  </cols>
  <sheetData>
    <row r="1" spans="1:4" ht="19.350000000000001" customHeight="1" x14ac:dyDescent="0.2">
      <c r="A1" s="665" t="s">
        <v>475</v>
      </c>
      <c r="B1" s="665"/>
      <c r="C1" s="665"/>
      <c r="D1" s="665"/>
    </row>
    <row r="2" spans="1:4" ht="14.65" customHeight="1" x14ac:dyDescent="0.2">
      <c r="A2" s="666" t="s">
        <v>71</v>
      </c>
      <c r="B2" s="666"/>
      <c r="C2" s="666"/>
      <c r="D2" s="666"/>
    </row>
    <row r="3" spans="1:4" ht="14.65" customHeight="1" x14ac:dyDescent="0.2">
      <c r="A3" s="667" t="s">
        <v>72</v>
      </c>
      <c r="B3" s="667"/>
      <c r="C3" s="667"/>
      <c r="D3" s="667"/>
    </row>
    <row r="4" spans="1:4" ht="24.4" customHeight="1" x14ac:dyDescent="0.2">
      <c r="A4" s="590" t="s">
        <v>140</v>
      </c>
      <c r="B4" s="590"/>
      <c r="C4" s="590"/>
      <c r="D4" s="590"/>
    </row>
    <row r="5" spans="1:4" ht="14.65" customHeight="1" x14ac:dyDescent="0.2">
      <c r="A5" s="173"/>
      <c r="B5" s="173"/>
      <c r="C5" s="173"/>
      <c r="D5" s="173"/>
    </row>
    <row r="6" spans="1:4" ht="17.100000000000001" customHeight="1" thickBot="1" x14ac:dyDescent="0.25">
      <c r="A6" s="648" t="s">
        <v>253</v>
      </c>
      <c r="B6" s="648"/>
      <c r="C6" s="648"/>
      <c r="D6" s="648"/>
    </row>
    <row r="7" spans="1:4" ht="15.75" customHeight="1" thickBot="1" x14ac:dyDescent="0.25">
      <c r="A7" s="205"/>
      <c r="B7" s="206" t="s">
        <v>142</v>
      </c>
      <c r="C7" s="451">
        <v>1698</v>
      </c>
      <c r="D7" s="451">
        <v>1753</v>
      </c>
    </row>
    <row r="8" spans="1:4" ht="14.65" customHeight="1" thickBot="1" x14ac:dyDescent="0.25">
      <c r="A8" s="208"/>
      <c r="B8" s="209" t="s">
        <v>143</v>
      </c>
      <c r="C8" s="455">
        <v>44470</v>
      </c>
      <c r="D8" s="455">
        <v>44470</v>
      </c>
    </row>
    <row r="9" spans="1:4" ht="14.65" customHeight="1" thickBot="1" x14ac:dyDescent="0.25">
      <c r="A9" s="211" t="s">
        <v>439</v>
      </c>
      <c r="B9" s="209" t="s">
        <v>144</v>
      </c>
      <c r="C9" s="456" t="s">
        <v>434</v>
      </c>
      <c r="D9" s="456" t="s">
        <v>434</v>
      </c>
    </row>
    <row r="10" spans="1:4" ht="14.65" customHeight="1" x14ac:dyDescent="0.2">
      <c r="A10" s="213"/>
      <c r="B10" s="214" t="s">
        <v>146</v>
      </c>
      <c r="C10" s="215" t="s">
        <v>147</v>
      </c>
      <c r="D10" s="215" t="s">
        <v>148</v>
      </c>
    </row>
    <row r="11" spans="1:4" ht="12.75" customHeight="1" x14ac:dyDescent="0.2">
      <c r="A11" s="216"/>
      <c r="B11" s="217"/>
      <c r="C11" s="218"/>
      <c r="D11" s="218"/>
    </row>
    <row r="12" spans="1:4" ht="45" customHeight="1" x14ac:dyDescent="0.2">
      <c r="A12" s="219" t="s">
        <v>149</v>
      </c>
      <c r="B12" s="220" t="s">
        <v>150</v>
      </c>
      <c r="C12" s="220" t="s">
        <v>151</v>
      </c>
      <c r="D12" s="220" t="s">
        <v>152</v>
      </c>
    </row>
    <row r="13" spans="1:4" ht="16.5" customHeight="1" x14ac:dyDescent="0.2">
      <c r="A13" s="647" t="s">
        <v>153</v>
      </c>
      <c r="B13" s="647"/>
      <c r="C13" s="647"/>
      <c r="D13" s="647"/>
    </row>
    <row r="14" spans="1:4" ht="15.75" customHeight="1" x14ac:dyDescent="0.2">
      <c r="A14" s="221" t="s">
        <v>154</v>
      </c>
      <c r="B14" s="222" t="s">
        <v>155</v>
      </c>
      <c r="C14" s="223" t="s">
        <v>156</v>
      </c>
      <c r="D14" s="223" t="s">
        <v>156</v>
      </c>
    </row>
    <row r="15" spans="1:4" ht="15.75" customHeight="1" x14ac:dyDescent="0.25">
      <c r="A15" s="224" t="s">
        <v>157</v>
      </c>
      <c r="B15" s="225"/>
      <c r="C15" s="313">
        <f>C7</f>
        <v>1698</v>
      </c>
      <c r="D15" s="313">
        <f>D7</f>
        <v>1753</v>
      </c>
    </row>
    <row r="16" spans="1:4" ht="15.75" customHeight="1" x14ac:dyDescent="0.25">
      <c r="A16" s="224" t="s">
        <v>158</v>
      </c>
      <c r="B16" s="229"/>
      <c r="C16" s="314">
        <v>0</v>
      </c>
      <c r="D16" s="314">
        <v>0</v>
      </c>
    </row>
    <row r="17" spans="1:64" ht="15.75" customHeight="1" x14ac:dyDescent="0.25">
      <c r="A17" s="224" t="s">
        <v>159</v>
      </c>
      <c r="B17" s="229"/>
      <c r="C17" s="313">
        <v>0</v>
      </c>
      <c r="D17" s="313">
        <v>0</v>
      </c>
    </row>
    <row r="18" spans="1:64" ht="15.75" customHeight="1" x14ac:dyDescent="0.25">
      <c r="A18" s="224" t="s">
        <v>254</v>
      </c>
      <c r="B18" s="229"/>
      <c r="C18" s="313"/>
      <c r="D18" s="313"/>
    </row>
    <row r="19" spans="1:64" ht="15.75" customHeight="1" x14ac:dyDescent="0.25">
      <c r="A19" s="224" t="s">
        <v>161</v>
      </c>
      <c r="B19" s="229"/>
      <c r="C19" s="313"/>
      <c r="D19" s="313"/>
    </row>
    <row r="20" spans="1:64" ht="15.75" customHeight="1" x14ac:dyDescent="0.25">
      <c r="A20" s="224" t="s">
        <v>162</v>
      </c>
      <c r="B20" s="229"/>
      <c r="C20" s="313"/>
      <c r="D20" s="313"/>
    </row>
    <row r="21" spans="1:64" ht="15.75" customHeight="1" x14ac:dyDescent="0.25">
      <c r="A21" s="224" t="s">
        <v>163</v>
      </c>
      <c r="B21" s="232"/>
      <c r="C21" s="313"/>
      <c r="D21" s="313"/>
    </row>
    <row r="22" spans="1:64" ht="15.75" customHeight="1" x14ac:dyDescent="0.2">
      <c r="A22" s="233" t="s">
        <v>164</v>
      </c>
      <c r="B22" s="234"/>
      <c r="C22" s="235">
        <f>SUM(C15:C21)</f>
        <v>1698</v>
      </c>
      <c r="D22" s="235">
        <f>SUM(D15:D21)</f>
        <v>1753</v>
      </c>
    </row>
    <row r="23" spans="1:64" ht="15.75" customHeight="1" x14ac:dyDescent="0.2">
      <c r="A23" s="236"/>
      <c r="B23" s="237"/>
      <c r="C23" s="238"/>
      <c r="D23" s="238"/>
    </row>
    <row r="24" spans="1:64" ht="16.149999999999999" customHeight="1" x14ac:dyDescent="0.2">
      <c r="A24" s="647" t="s">
        <v>165</v>
      </c>
      <c r="B24" s="647"/>
      <c r="C24" s="647"/>
      <c r="D24" s="647"/>
    </row>
    <row r="25" spans="1:64" ht="15.75" customHeight="1" x14ac:dyDescent="0.2">
      <c r="A25" s="239" t="s">
        <v>166</v>
      </c>
      <c r="B25" s="240" t="s">
        <v>167</v>
      </c>
      <c r="C25" s="240" t="s">
        <v>156</v>
      </c>
      <c r="D25" s="240" t="s">
        <v>156</v>
      </c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  <c r="BI25" s="216"/>
      <c r="BJ25" s="216"/>
      <c r="BK25" s="216"/>
      <c r="BL25" s="216"/>
    </row>
    <row r="26" spans="1:64" ht="15.75" customHeight="1" x14ac:dyDescent="0.2">
      <c r="A26" s="241" t="s">
        <v>168</v>
      </c>
      <c r="B26" s="242">
        <f>1/12</f>
        <v>8.3333333333333329E-2</v>
      </c>
      <c r="C26" s="243">
        <f>$B26*C15</f>
        <v>141.5</v>
      </c>
      <c r="D26" s="243">
        <f>$B26*D15</f>
        <v>146.08333333333331</v>
      </c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  <c r="BI26" s="216"/>
      <c r="BJ26" s="216"/>
      <c r="BK26" s="216"/>
      <c r="BL26" s="216"/>
    </row>
    <row r="27" spans="1:64" ht="15.75" customHeight="1" x14ac:dyDescent="0.2">
      <c r="A27" s="224" t="s">
        <v>169</v>
      </c>
      <c r="B27" s="244">
        <f>1/3*1/12</f>
        <v>2.7777777777777776E-2</v>
      </c>
      <c r="C27" s="245">
        <f>C15*$B27</f>
        <v>47.166666666666664</v>
      </c>
      <c r="D27" s="245">
        <f>D15*$B27</f>
        <v>48.694444444444443</v>
      </c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  <c r="BI27" s="216"/>
      <c r="BJ27" s="216"/>
      <c r="BK27" s="216"/>
      <c r="BL27" s="216"/>
    </row>
    <row r="28" spans="1:64" ht="15.75" customHeight="1" x14ac:dyDescent="0.2">
      <c r="A28" s="246" t="s">
        <v>170</v>
      </c>
      <c r="B28" s="247">
        <f>SUM(B26:B27)</f>
        <v>0.1111111111111111</v>
      </c>
      <c r="C28" s="235">
        <f>SUM(C26:C27)</f>
        <v>188.66666666666666</v>
      </c>
      <c r="D28" s="235">
        <f>SUM(D26:D27)</f>
        <v>194.77777777777777</v>
      </c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  <c r="BI28" s="216"/>
      <c r="BJ28" s="216"/>
      <c r="BK28" s="216"/>
      <c r="BL28" s="216"/>
    </row>
    <row r="29" spans="1:64" ht="27.6" customHeight="1" x14ac:dyDescent="0.2">
      <c r="A29" s="248" t="s">
        <v>171</v>
      </c>
      <c r="B29" s="249" t="s">
        <v>167</v>
      </c>
      <c r="C29" s="249" t="s">
        <v>156</v>
      </c>
      <c r="D29" s="249" t="s">
        <v>156</v>
      </c>
    </row>
    <row r="30" spans="1:64" ht="15.75" customHeight="1" x14ac:dyDescent="0.2">
      <c r="A30" s="224" t="s">
        <v>172</v>
      </c>
      <c r="B30" s="250">
        <v>0.2</v>
      </c>
      <c r="C30" s="251">
        <f t="shared" ref="C30:C37" si="0">($C$22+$C$28)*$B30</f>
        <v>377.33333333333337</v>
      </c>
      <c r="D30" s="251">
        <f t="shared" ref="D30:D37" si="1">($D$22+$D$28)*$B30</f>
        <v>389.5555555555556</v>
      </c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</row>
    <row r="31" spans="1:64" ht="15.75" customHeight="1" x14ac:dyDescent="0.2">
      <c r="A31" s="224" t="s">
        <v>173</v>
      </c>
      <c r="B31" s="250">
        <v>2.5000000000000001E-2</v>
      </c>
      <c r="C31" s="251">
        <f t="shared" si="0"/>
        <v>47.166666666666671</v>
      </c>
      <c r="D31" s="251">
        <f t="shared" si="1"/>
        <v>48.69444444444445</v>
      </c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</row>
    <row r="32" spans="1:64" ht="15.75" customHeight="1" x14ac:dyDescent="0.2">
      <c r="A32" s="224" t="s">
        <v>174</v>
      </c>
      <c r="B32" s="254">
        <v>0.03</v>
      </c>
      <c r="C32" s="251">
        <f t="shared" si="0"/>
        <v>56.6</v>
      </c>
      <c r="D32" s="251">
        <f t="shared" si="1"/>
        <v>58.43333333333333</v>
      </c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</row>
    <row r="33" spans="1:64" ht="15.75" customHeight="1" x14ac:dyDescent="0.2">
      <c r="A33" s="224" t="s">
        <v>175</v>
      </c>
      <c r="B33" s="250">
        <v>1.4999999999999999E-2</v>
      </c>
      <c r="C33" s="251">
        <f t="shared" si="0"/>
        <v>28.3</v>
      </c>
      <c r="D33" s="251">
        <f t="shared" si="1"/>
        <v>29.216666666666665</v>
      </c>
      <c r="E33" s="252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</row>
    <row r="34" spans="1:64" ht="15.75" customHeight="1" x14ac:dyDescent="0.2">
      <c r="A34" s="224" t="s">
        <v>176</v>
      </c>
      <c r="B34" s="250">
        <v>0.01</v>
      </c>
      <c r="C34" s="251">
        <f t="shared" si="0"/>
        <v>18.866666666666667</v>
      </c>
      <c r="D34" s="251">
        <f t="shared" si="1"/>
        <v>19.477777777777778</v>
      </c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</row>
    <row r="35" spans="1:64" ht="15.75" customHeight="1" x14ac:dyDescent="0.2">
      <c r="A35" s="224" t="s">
        <v>177</v>
      </c>
      <c r="B35" s="250">
        <v>6.0000000000000001E-3</v>
      </c>
      <c r="C35" s="251">
        <f t="shared" si="0"/>
        <v>11.32</v>
      </c>
      <c r="D35" s="251">
        <f t="shared" si="1"/>
        <v>11.686666666666667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</row>
    <row r="36" spans="1:64" ht="15.75" customHeight="1" x14ac:dyDescent="0.2">
      <c r="A36" s="224" t="s">
        <v>178</v>
      </c>
      <c r="B36" s="250">
        <v>2E-3</v>
      </c>
      <c r="C36" s="251">
        <f t="shared" si="0"/>
        <v>3.7733333333333334</v>
      </c>
      <c r="D36" s="251">
        <f t="shared" si="1"/>
        <v>3.8955555555555557</v>
      </c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3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  <c r="BI36" s="253"/>
      <c r="BJ36" s="253"/>
      <c r="BK36" s="253"/>
      <c r="BL36" s="253"/>
    </row>
    <row r="37" spans="1:64" ht="15.75" customHeight="1" x14ac:dyDescent="0.2">
      <c r="A37" s="224" t="s">
        <v>179</v>
      </c>
      <c r="B37" s="250">
        <v>0.08</v>
      </c>
      <c r="C37" s="251">
        <f t="shared" si="0"/>
        <v>150.93333333333334</v>
      </c>
      <c r="D37" s="251">
        <f t="shared" si="1"/>
        <v>155.82222222222222</v>
      </c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253"/>
      <c r="BJ37" s="253"/>
      <c r="BK37" s="253"/>
      <c r="BL37" s="253"/>
    </row>
    <row r="38" spans="1:64" ht="15.75" customHeight="1" x14ac:dyDescent="0.2">
      <c r="A38" s="246" t="s">
        <v>170</v>
      </c>
      <c r="B38" s="247">
        <f>SUM(B30:B37)</f>
        <v>0.36800000000000005</v>
      </c>
      <c r="C38" s="255">
        <f>SUM(C30:C37)</f>
        <v>694.29333333333352</v>
      </c>
      <c r="D38" s="255">
        <f>SUM(D30:D37)</f>
        <v>716.78222222222223</v>
      </c>
    </row>
    <row r="39" spans="1:64" ht="15.75" customHeight="1" x14ac:dyDescent="0.2">
      <c r="A39" s="256" t="s">
        <v>180</v>
      </c>
      <c r="B39" s="249" t="s">
        <v>181</v>
      </c>
      <c r="C39" s="257" t="s">
        <v>156</v>
      </c>
      <c r="D39" s="257" t="s">
        <v>156</v>
      </c>
    </row>
    <row r="40" spans="1:64" ht="15.75" customHeight="1" x14ac:dyDescent="0.25">
      <c r="A40" s="224" t="s">
        <v>182</v>
      </c>
      <c r="B40" s="258">
        <f>'VT, Uniforme e Plano Celular'!E16</f>
        <v>4.5199999999999996</v>
      </c>
      <c r="C40" s="259">
        <f>((2*22*$B$40)-0.06*C22)</f>
        <v>97</v>
      </c>
      <c r="D40" s="259">
        <f>((2*22*$B$40)-0.06*D22)</f>
        <v>93.7</v>
      </c>
    </row>
    <row r="41" spans="1:64" ht="15.75" customHeight="1" x14ac:dyDescent="0.2">
      <c r="A41" s="224" t="s">
        <v>249</v>
      </c>
      <c r="B41" s="260">
        <v>21.1</v>
      </c>
      <c r="C41" s="245">
        <f>($B$41*22)</f>
        <v>464.20000000000005</v>
      </c>
      <c r="D41" s="245">
        <f>($B$41*22)</f>
        <v>464.20000000000005</v>
      </c>
    </row>
    <row r="42" spans="1:64" ht="15.75" customHeight="1" x14ac:dyDescent="0.2">
      <c r="A42" s="261" t="s">
        <v>184</v>
      </c>
      <c r="B42" s="315"/>
      <c r="C42" s="245">
        <f>B42</f>
        <v>0</v>
      </c>
      <c r="D42" s="245">
        <f>C42</f>
        <v>0</v>
      </c>
    </row>
    <row r="43" spans="1:64" ht="15.75" customHeight="1" x14ac:dyDescent="0.2">
      <c r="A43" s="224" t="s">
        <v>185</v>
      </c>
      <c r="B43" s="315"/>
      <c r="C43" s="245">
        <f>B43</f>
        <v>0</v>
      </c>
      <c r="D43" s="245">
        <f>B43</f>
        <v>0</v>
      </c>
    </row>
    <row r="44" spans="1:64" ht="15.75" customHeight="1" x14ac:dyDescent="0.2">
      <c r="A44" s="224" t="s">
        <v>186</v>
      </c>
      <c r="B44" s="315"/>
      <c r="C44" s="245">
        <f>$B$44*0.8</f>
        <v>0</v>
      </c>
      <c r="D44" s="245">
        <f>$B$44*0.8</f>
        <v>0</v>
      </c>
    </row>
    <row r="45" spans="1:64" ht="15.75" customHeight="1" x14ac:dyDescent="0.2">
      <c r="A45" s="224" t="s">
        <v>187</v>
      </c>
      <c r="B45" s="315"/>
      <c r="C45" s="245"/>
      <c r="D45" s="245"/>
    </row>
    <row r="46" spans="1:64" ht="15.75" customHeight="1" x14ac:dyDescent="0.2">
      <c r="A46" s="246" t="s">
        <v>170</v>
      </c>
      <c r="B46" s="235"/>
      <c r="C46" s="255">
        <f>SUM(C40:C45)</f>
        <v>561.20000000000005</v>
      </c>
      <c r="D46" s="255">
        <f>SUM(D40:D45)</f>
        <v>557.90000000000009</v>
      </c>
    </row>
    <row r="47" spans="1:64" ht="15.75" customHeight="1" x14ac:dyDescent="0.2">
      <c r="A47" s="263" t="s">
        <v>188</v>
      </c>
      <c r="B47" s="223" t="s">
        <v>155</v>
      </c>
      <c r="C47" s="264" t="s">
        <v>156</v>
      </c>
      <c r="D47" s="264" t="s">
        <v>156</v>
      </c>
    </row>
    <row r="48" spans="1:64" ht="15.75" customHeight="1" x14ac:dyDescent="0.2">
      <c r="A48" s="265" t="s">
        <v>189</v>
      </c>
      <c r="B48" s="266">
        <f>B28</f>
        <v>0.1111111111111111</v>
      </c>
      <c r="C48" s="243">
        <f>C28</f>
        <v>188.66666666666666</v>
      </c>
      <c r="D48" s="243">
        <f>D28</f>
        <v>194.77777777777777</v>
      </c>
    </row>
    <row r="49" spans="1:64" ht="15.75" customHeight="1" x14ac:dyDescent="0.2">
      <c r="A49" s="267" t="s">
        <v>190</v>
      </c>
      <c r="B49" s="268">
        <f>B38</f>
        <v>0.36800000000000005</v>
      </c>
      <c r="C49" s="245">
        <f>C38</f>
        <v>694.29333333333352</v>
      </c>
      <c r="D49" s="245">
        <f>D38</f>
        <v>716.78222222222223</v>
      </c>
    </row>
    <row r="50" spans="1:64" ht="15.75" customHeight="1" x14ac:dyDescent="0.2">
      <c r="A50" s="267" t="s">
        <v>191</v>
      </c>
      <c r="B50" s="269"/>
      <c r="C50" s="245">
        <f>C46</f>
        <v>561.20000000000005</v>
      </c>
      <c r="D50" s="245">
        <f>D46</f>
        <v>557.90000000000009</v>
      </c>
    </row>
    <row r="51" spans="1:64" ht="15.75" customHeight="1" x14ac:dyDescent="0.2">
      <c r="A51" s="233" t="s">
        <v>164</v>
      </c>
      <c r="B51" s="270"/>
      <c r="C51" s="235">
        <f>SUM(C48:C50)</f>
        <v>1444.1600000000003</v>
      </c>
      <c r="D51" s="235">
        <f>SUM(D48:D50)</f>
        <v>1469.46</v>
      </c>
    </row>
    <row r="52" spans="1:64" ht="15.75" customHeight="1" x14ac:dyDescent="0.2">
      <c r="A52" s="271"/>
      <c r="B52" s="238"/>
      <c r="C52" s="238"/>
      <c r="D52" s="238"/>
    </row>
    <row r="53" spans="1:64" ht="16.5" customHeight="1" x14ac:dyDescent="0.2">
      <c r="A53" s="647" t="s">
        <v>192</v>
      </c>
      <c r="B53" s="647"/>
      <c r="C53" s="647"/>
      <c r="D53" s="647"/>
    </row>
    <row r="54" spans="1:64" ht="15.75" customHeight="1" thickBot="1" x14ac:dyDescent="0.25">
      <c r="A54" s="221" t="s">
        <v>193</v>
      </c>
      <c r="B54" s="223" t="s">
        <v>167</v>
      </c>
      <c r="C54" s="272" t="s">
        <v>156</v>
      </c>
      <c r="D54" s="272" t="s">
        <v>156</v>
      </c>
    </row>
    <row r="55" spans="1:64" ht="15.75" customHeight="1" thickTop="1" x14ac:dyDescent="0.2">
      <c r="A55" s="224" t="s">
        <v>194</v>
      </c>
      <c r="B55" s="273">
        <f>1/12*0.05</f>
        <v>4.1666666666666666E-3</v>
      </c>
      <c r="C55" s="274">
        <f>$B55*$C$22</f>
        <v>7.0750000000000002</v>
      </c>
      <c r="D55" s="274">
        <f>$B55*$D$22</f>
        <v>7.3041666666666663</v>
      </c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  <c r="BI55" s="253"/>
      <c r="BJ55" s="253"/>
      <c r="BK55" s="253"/>
      <c r="BL55" s="253"/>
    </row>
    <row r="56" spans="1:64" ht="15.75" customHeight="1" x14ac:dyDescent="0.2">
      <c r="A56" s="230" t="s">
        <v>195</v>
      </c>
      <c r="B56" s="273">
        <f>B37*B55</f>
        <v>3.3333333333333332E-4</v>
      </c>
      <c r="C56" s="274">
        <f>$B56*$C$22</f>
        <v>0.56599999999999995</v>
      </c>
      <c r="D56" s="274">
        <f>$B56*$D$22</f>
        <v>0.58433333333333326</v>
      </c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</row>
    <row r="57" spans="1:64" ht="15.75" customHeight="1" x14ac:dyDescent="0.2">
      <c r="A57" s="224" t="s">
        <v>196</v>
      </c>
      <c r="B57" s="273">
        <v>0</v>
      </c>
      <c r="C57" s="274">
        <f>B57*$C$22</f>
        <v>0</v>
      </c>
      <c r="D57" s="274">
        <f>C57*$C$22</f>
        <v>0</v>
      </c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3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  <c r="BI57" s="253"/>
      <c r="BJ57" s="253"/>
      <c r="BK57" s="253"/>
      <c r="BL57" s="253"/>
    </row>
    <row r="58" spans="1:64" ht="15.75" customHeight="1" x14ac:dyDescent="0.2">
      <c r="A58" s="224" t="s">
        <v>197</v>
      </c>
      <c r="B58" s="273">
        <f>1/30*7/12</f>
        <v>1.9444444444444445E-2</v>
      </c>
      <c r="C58" s="274">
        <f>$B58*$C$22</f>
        <v>33.016666666666666</v>
      </c>
      <c r="D58" s="274">
        <f>$B58*$D$22</f>
        <v>34.086111111111109</v>
      </c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253"/>
      <c r="AT58" s="253"/>
      <c r="AU58" s="253"/>
      <c r="AV58" s="253"/>
      <c r="AW58" s="253"/>
      <c r="AX58" s="253"/>
      <c r="AY58" s="253"/>
      <c r="AZ58" s="253"/>
      <c r="BA58" s="253"/>
      <c r="BB58" s="253"/>
      <c r="BC58" s="253"/>
      <c r="BD58" s="253"/>
      <c r="BE58" s="253"/>
      <c r="BF58" s="253"/>
      <c r="BG58" s="253"/>
      <c r="BH58" s="253"/>
      <c r="BI58" s="253"/>
      <c r="BJ58" s="253"/>
      <c r="BK58" s="253"/>
      <c r="BL58" s="253"/>
    </row>
    <row r="59" spans="1:64" ht="15.75" customHeight="1" x14ac:dyDescent="0.2">
      <c r="A59" s="224" t="s">
        <v>198</v>
      </c>
      <c r="B59" s="273">
        <f>B58*B38</f>
        <v>7.1555555555555565E-3</v>
      </c>
      <c r="C59" s="274">
        <f>$B59*$C$22</f>
        <v>12.150133333333335</v>
      </c>
      <c r="D59" s="274">
        <f>$B59*$D$22</f>
        <v>12.543688888888891</v>
      </c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3"/>
      <c r="Z59" s="253"/>
      <c r="AA59" s="253"/>
      <c r="AB59" s="253"/>
      <c r="AC59" s="253"/>
      <c r="AD59" s="253"/>
      <c r="AE59" s="253"/>
      <c r="AF59" s="253"/>
      <c r="AG59" s="253"/>
      <c r="AH59" s="253"/>
      <c r="AI59" s="253"/>
      <c r="AJ59" s="253"/>
      <c r="AK59" s="253"/>
      <c r="AL59" s="253"/>
      <c r="AM59" s="253"/>
      <c r="AN59" s="253"/>
      <c r="AO59" s="253"/>
      <c r="AP59" s="253"/>
      <c r="AQ59" s="253"/>
      <c r="AR59" s="253"/>
      <c r="AS59" s="253"/>
      <c r="AT59" s="253"/>
      <c r="AU59" s="253"/>
      <c r="AV59" s="253"/>
      <c r="AW59" s="253"/>
      <c r="AX59" s="253"/>
      <c r="AY59" s="253"/>
      <c r="AZ59" s="253"/>
      <c r="BA59" s="253"/>
      <c r="BB59" s="253"/>
      <c r="BC59" s="253"/>
      <c r="BD59" s="253"/>
      <c r="BE59" s="253"/>
      <c r="BF59" s="253"/>
      <c r="BG59" s="253"/>
      <c r="BH59" s="253"/>
      <c r="BI59" s="253"/>
      <c r="BJ59" s="253"/>
      <c r="BK59" s="253"/>
      <c r="BL59" s="253"/>
    </row>
    <row r="60" spans="1:64" ht="15.75" customHeight="1" x14ac:dyDescent="0.2">
      <c r="A60" s="224" t="s">
        <v>199</v>
      </c>
      <c r="B60" s="276">
        <f>B37*0.4*0.9*(1+1/12+1/12+1/3*1/12)</f>
        <v>3.4399999999999993E-2</v>
      </c>
      <c r="C60" s="274">
        <f>$B60*$C$22</f>
        <v>58.411199999999987</v>
      </c>
      <c r="D60" s="274">
        <f>$B60*$D$22</f>
        <v>60.30319999999999</v>
      </c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253"/>
      <c r="BC60" s="253"/>
      <c r="BD60" s="253"/>
      <c r="BE60" s="253"/>
      <c r="BF60" s="253"/>
      <c r="BG60" s="253"/>
      <c r="BH60" s="253"/>
      <c r="BI60" s="253"/>
      <c r="BJ60" s="253"/>
      <c r="BK60" s="253"/>
      <c r="BL60" s="253"/>
    </row>
    <row r="61" spans="1:64" ht="15.75" customHeight="1" x14ac:dyDescent="0.2">
      <c r="A61" s="246" t="s">
        <v>164</v>
      </c>
      <c r="B61" s="277">
        <f>SUM(B55:B60)</f>
        <v>6.5500000000000003E-2</v>
      </c>
      <c r="C61" s="235">
        <f>SUM(C55:C60)</f>
        <v>111.21899999999999</v>
      </c>
      <c r="D61" s="235">
        <f>SUM(D55:D60)</f>
        <v>114.82149999999999</v>
      </c>
    </row>
    <row r="62" spans="1:64" ht="15.75" customHeight="1" x14ac:dyDescent="0.2">
      <c r="A62" s="271"/>
      <c r="B62" s="238"/>
      <c r="C62" s="238"/>
      <c r="D62" s="238"/>
    </row>
    <row r="63" spans="1:64" ht="16.149999999999999" customHeight="1" x14ac:dyDescent="0.2">
      <c r="A63" s="647" t="s">
        <v>200</v>
      </c>
      <c r="B63" s="647"/>
      <c r="C63" s="647"/>
      <c r="D63" s="647"/>
    </row>
    <row r="64" spans="1:64" ht="15.75" customHeight="1" x14ac:dyDescent="0.2">
      <c r="A64" s="278" t="s">
        <v>201</v>
      </c>
      <c r="B64" s="240" t="s">
        <v>167</v>
      </c>
      <c r="C64" s="279" t="s">
        <v>156</v>
      </c>
      <c r="D64" s="279" t="s">
        <v>156</v>
      </c>
    </row>
    <row r="65" spans="1:64" ht="15.95" customHeight="1" x14ac:dyDescent="0.2">
      <c r="A65" s="224" t="s">
        <v>202</v>
      </c>
      <c r="B65" s="244">
        <f>1/12</f>
        <v>8.3333333333333329E-2</v>
      </c>
      <c r="C65" s="251">
        <f t="shared" ref="C65:D68" si="2">(C$22+(C$51-C$40-C$41)+C$61)*$B65</f>
        <v>224.34825000000001</v>
      </c>
      <c r="D65" s="251">
        <f t="shared" si="2"/>
        <v>231.61512499999998</v>
      </c>
      <c r="E65" s="252"/>
      <c r="F65" s="252"/>
      <c r="G65" s="252"/>
      <c r="H65" s="252"/>
      <c r="I65" s="252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  <c r="BI65" s="253"/>
      <c r="BJ65" s="253"/>
      <c r="BK65" s="253"/>
      <c r="BL65" s="253"/>
    </row>
    <row r="66" spans="1:64" ht="15.75" customHeight="1" x14ac:dyDescent="0.2">
      <c r="A66" s="224" t="s">
        <v>203</v>
      </c>
      <c r="B66" s="244">
        <f>4.8616/30/12</f>
        <v>1.3504444444444444E-2</v>
      </c>
      <c r="C66" s="251">
        <f t="shared" si="2"/>
        <v>36.356381739999996</v>
      </c>
      <c r="D66" s="251">
        <f t="shared" si="2"/>
        <v>37.534003056666663</v>
      </c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3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253"/>
      <c r="AL66" s="253"/>
      <c r="AM66" s="253"/>
      <c r="AN66" s="253"/>
      <c r="AO66" s="253"/>
      <c r="AP66" s="253"/>
      <c r="AQ66" s="253"/>
      <c r="AR66" s="253"/>
      <c r="AS66" s="253"/>
      <c r="AT66" s="253"/>
      <c r="AU66" s="253"/>
      <c r="AV66" s="253"/>
      <c r="AW66" s="253"/>
      <c r="AX66" s="253"/>
      <c r="AY66" s="253"/>
      <c r="AZ66" s="253"/>
      <c r="BA66" s="253"/>
      <c r="BB66" s="253"/>
      <c r="BC66" s="253"/>
      <c r="BD66" s="253"/>
      <c r="BE66" s="253"/>
      <c r="BF66" s="253"/>
      <c r="BG66" s="253"/>
      <c r="BH66" s="253"/>
      <c r="BI66" s="253"/>
      <c r="BJ66" s="253"/>
      <c r="BK66" s="253"/>
      <c r="BL66" s="253"/>
    </row>
    <row r="67" spans="1:64" ht="15.75" customHeight="1" x14ac:dyDescent="0.2">
      <c r="A67" s="224" t="s">
        <v>204</v>
      </c>
      <c r="B67" s="244">
        <f>5/30/12*0.015*0.8988</f>
        <v>1.8725E-4</v>
      </c>
      <c r="C67" s="251">
        <f t="shared" si="2"/>
        <v>0.50411051775000004</v>
      </c>
      <c r="D67" s="251">
        <f t="shared" si="2"/>
        <v>0.52043918587499993</v>
      </c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52"/>
      <c r="S67" s="252"/>
      <c r="T67" s="252"/>
      <c r="U67" s="252"/>
      <c r="V67" s="252"/>
      <c r="W67" s="252"/>
      <c r="X67" s="252"/>
      <c r="Y67" s="253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3"/>
      <c r="AO67" s="253"/>
      <c r="AP67" s="253"/>
      <c r="AQ67" s="253"/>
      <c r="AR67" s="253"/>
      <c r="AS67" s="253"/>
      <c r="AT67" s="253"/>
      <c r="AU67" s="253"/>
      <c r="AV67" s="253"/>
      <c r="AW67" s="253"/>
      <c r="AX67" s="253"/>
      <c r="AY67" s="253"/>
      <c r="AZ67" s="253"/>
      <c r="BA67" s="253"/>
      <c r="BB67" s="253"/>
      <c r="BC67" s="253"/>
      <c r="BD67" s="253"/>
      <c r="BE67" s="253"/>
      <c r="BF67" s="253"/>
      <c r="BG67" s="253"/>
      <c r="BH67" s="253"/>
      <c r="BI67" s="253"/>
      <c r="BJ67" s="253"/>
      <c r="BK67" s="253"/>
      <c r="BL67" s="253"/>
    </row>
    <row r="68" spans="1:64" ht="15.75" customHeight="1" x14ac:dyDescent="0.2">
      <c r="A68" s="224" t="s">
        <v>205</v>
      </c>
      <c r="B68" s="244">
        <f>0.9659/30/12</f>
        <v>2.6830555555555553E-3</v>
      </c>
      <c r="C68" s="251">
        <f t="shared" si="2"/>
        <v>7.2232658224999993</v>
      </c>
      <c r="D68" s="251">
        <f t="shared" si="2"/>
        <v>7.4572349745833328</v>
      </c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3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3"/>
      <c r="BC68" s="253"/>
      <c r="BD68" s="253"/>
      <c r="BE68" s="253"/>
      <c r="BF68" s="253"/>
      <c r="BG68" s="253"/>
      <c r="BH68" s="253"/>
      <c r="BI68" s="253"/>
      <c r="BJ68" s="253"/>
      <c r="BK68" s="253"/>
      <c r="BL68" s="253"/>
    </row>
    <row r="69" spans="1:64" ht="15.75" customHeight="1" x14ac:dyDescent="0.2">
      <c r="A69" s="224" t="s">
        <v>163</v>
      </c>
      <c r="B69" s="244">
        <v>0</v>
      </c>
      <c r="C69" s="251">
        <f>(C$22+(C$52-C$41-C$42)+C$62)*$B69</f>
        <v>0</v>
      </c>
      <c r="D69" s="251">
        <f>(D$22+(D$52-D$41-D$42)+D$62)*$B69</f>
        <v>0</v>
      </c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3"/>
      <c r="Z69" s="253"/>
      <c r="AA69" s="253"/>
      <c r="AB69" s="253"/>
      <c r="AC69" s="253"/>
      <c r="AD69" s="253"/>
      <c r="AE69" s="253"/>
      <c r="AF69" s="253"/>
      <c r="AG69" s="253"/>
      <c r="AH69" s="253"/>
      <c r="AI69" s="253"/>
      <c r="AJ69" s="253"/>
      <c r="AK69" s="253"/>
      <c r="AL69" s="253"/>
      <c r="AM69" s="253"/>
      <c r="AN69" s="253"/>
      <c r="AO69" s="253"/>
      <c r="AP69" s="253"/>
      <c r="AQ69" s="253"/>
      <c r="AR69" s="253"/>
      <c r="AS69" s="253"/>
      <c r="AT69" s="253"/>
      <c r="AU69" s="253"/>
      <c r="AV69" s="253"/>
      <c r="AW69" s="253"/>
      <c r="AX69" s="253"/>
      <c r="AY69" s="253"/>
      <c r="AZ69" s="253"/>
      <c r="BA69" s="253"/>
      <c r="BB69" s="253"/>
      <c r="BC69" s="253"/>
      <c r="BD69" s="253"/>
      <c r="BE69" s="253"/>
      <c r="BF69" s="253"/>
      <c r="BG69" s="253"/>
      <c r="BH69" s="253"/>
      <c r="BI69" s="253"/>
      <c r="BJ69" s="253"/>
      <c r="BK69" s="253"/>
      <c r="BL69" s="253"/>
    </row>
    <row r="70" spans="1:64" ht="15.75" customHeight="1" x14ac:dyDescent="0.2">
      <c r="A70" s="246" t="s">
        <v>170</v>
      </c>
      <c r="B70" s="247">
        <f>SUM(B65:B69)</f>
        <v>9.9708083333333322E-2</v>
      </c>
      <c r="C70" s="255">
        <f>SUM(C65:C69)</f>
        <v>268.43200808025006</v>
      </c>
      <c r="D70" s="255">
        <f>SUM(D65:D69)</f>
        <v>277.12680221712498</v>
      </c>
    </row>
    <row r="71" spans="1:64" ht="15.75" customHeight="1" x14ac:dyDescent="0.2">
      <c r="A71" s="278" t="s">
        <v>206</v>
      </c>
      <c r="B71" s="316"/>
      <c r="C71" s="279" t="s">
        <v>156</v>
      </c>
      <c r="D71" s="279" t="s">
        <v>156</v>
      </c>
    </row>
    <row r="72" spans="1:64" ht="15.75" customHeight="1" x14ac:dyDescent="0.2">
      <c r="A72" s="230" t="s">
        <v>207</v>
      </c>
      <c r="B72" s="281">
        <v>0</v>
      </c>
      <c r="C72" s="282"/>
      <c r="D72" s="282"/>
      <c r="E72" s="252"/>
      <c r="F72" s="252"/>
      <c r="G72" s="252"/>
      <c r="H72" s="252"/>
      <c r="I72" s="252"/>
      <c r="J72" s="252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3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  <c r="BI72" s="253"/>
      <c r="BJ72" s="253"/>
      <c r="BK72" s="253"/>
      <c r="BL72" s="253"/>
    </row>
    <row r="73" spans="1:64" ht="15.75" customHeight="1" x14ac:dyDescent="0.2">
      <c r="A73" s="246" t="s">
        <v>170</v>
      </c>
      <c r="B73" s="247">
        <v>0</v>
      </c>
      <c r="C73" s="255"/>
      <c r="D73" s="255"/>
    </row>
    <row r="74" spans="1:64" ht="15.75" customHeight="1" x14ac:dyDescent="0.2">
      <c r="A74" s="278" t="s">
        <v>208</v>
      </c>
      <c r="B74" s="316"/>
      <c r="C74" s="279" t="s">
        <v>156</v>
      </c>
      <c r="D74" s="279" t="s">
        <v>156</v>
      </c>
    </row>
    <row r="75" spans="1:64" ht="15.75" customHeight="1" x14ac:dyDescent="0.2">
      <c r="A75" s="224" t="s">
        <v>209</v>
      </c>
      <c r="B75" s="254">
        <f>(120/30)*0.1012*0.0032</f>
        <v>1.29536E-3</v>
      </c>
      <c r="C75" s="251">
        <f>(C$22+C$51+C$61)*$B75</f>
        <v>4.2142970214400002</v>
      </c>
      <c r="D75" s="251">
        <f>(D$22+D$51+D$61)*$B75</f>
        <v>4.3229809638400001</v>
      </c>
    </row>
    <row r="76" spans="1:64" ht="15.75" customHeight="1" x14ac:dyDescent="0.2">
      <c r="A76" s="246" t="s">
        <v>164</v>
      </c>
      <c r="B76" s="247">
        <f>B75</f>
        <v>1.29536E-3</v>
      </c>
      <c r="C76" s="255">
        <f>C75</f>
        <v>4.2142970214400002</v>
      </c>
      <c r="D76" s="255">
        <f>D75</f>
        <v>4.3229809638400001</v>
      </c>
    </row>
    <row r="77" spans="1:64" ht="15.75" customHeight="1" x14ac:dyDescent="0.2">
      <c r="A77" s="278" t="s">
        <v>210</v>
      </c>
      <c r="B77" s="316"/>
      <c r="C77" s="279" t="s">
        <v>156</v>
      </c>
      <c r="D77" s="279" t="s">
        <v>156</v>
      </c>
    </row>
    <row r="78" spans="1:64" ht="15.75" customHeight="1" x14ac:dyDescent="0.2">
      <c r="A78" s="224" t="s">
        <v>211</v>
      </c>
      <c r="B78" s="254">
        <v>0</v>
      </c>
      <c r="C78" s="251"/>
      <c r="D78" s="251"/>
    </row>
    <row r="79" spans="1:64" ht="15.75" customHeight="1" x14ac:dyDescent="0.2">
      <c r="A79" s="246" t="s">
        <v>164</v>
      </c>
      <c r="B79" s="247">
        <f>B78</f>
        <v>0</v>
      </c>
      <c r="C79" s="255">
        <f>C78</f>
        <v>0</v>
      </c>
      <c r="D79" s="255">
        <f>D78</f>
        <v>0</v>
      </c>
    </row>
    <row r="80" spans="1:64" ht="15.75" customHeight="1" x14ac:dyDescent="0.2">
      <c r="A80" s="283" t="s">
        <v>212</v>
      </c>
      <c r="B80" s="223" t="s">
        <v>155</v>
      </c>
      <c r="C80" s="284" t="s">
        <v>156</v>
      </c>
      <c r="D80" s="284" t="s">
        <v>156</v>
      </c>
    </row>
    <row r="81" spans="1:64" ht="15.75" customHeight="1" x14ac:dyDescent="0.2">
      <c r="A81" s="285" t="s">
        <v>213</v>
      </c>
      <c r="B81" s="286">
        <f>B70</f>
        <v>9.9708083333333322E-2</v>
      </c>
      <c r="C81" s="243">
        <f>C70</f>
        <v>268.43200808025006</v>
      </c>
      <c r="D81" s="243">
        <f>D70</f>
        <v>277.12680221712498</v>
      </c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  <c r="Q81" s="252"/>
      <c r="R81" s="252"/>
      <c r="S81" s="252"/>
      <c r="T81" s="252"/>
      <c r="U81" s="252"/>
      <c r="V81" s="252"/>
      <c r="W81" s="252"/>
      <c r="X81" s="252"/>
      <c r="Y81" s="253"/>
      <c r="Z81" s="253"/>
      <c r="AA81" s="253"/>
      <c r="AB81" s="253"/>
      <c r="AC81" s="253"/>
      <c r="AD81" s="253"/>
      <c r="AE81" s="253"/>
      <c r="AF81" s="253"/>
      <c r="AG81" s="253"/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  <c r="BI81" s="253"/>
      <c r="BJ81" s="253"/>
      <c r="BK81" s="253"/>
      <c r="BL81" s="253"/>
    </row>
    <row r="82" spans="1:64" ht="15.75" customHeight="1" x14ac:dyDescent="0.2">
      <c r="A82" s="287" t="s">
        <v>214</v>
      </c>
      <c r="B82" s="286">
        <f>B73</f>
        <v>0</v>
      </c>
      <c r="C82" s="245">
        <f>C73</f>
        <v>0</v>
      </c>
      <c r="D82" s="245">
        <f>D73</f>
        <v>0</v>
      </c>
      <c r="E82" s="252"/>
      <c r="F82" s="252"/>
      <c r="G82" s="252"/>
      <c r="H82" s="252"/>
      <c r="I82" s="252"/>
      <c r="J82" s="252"/>
      <c r="K82" s="252"/>
      <c r="L82" s="252"/>
      <c r="M82" s="252"/>
      <c r="N82" s="252"/>
      <c r="O82" s="252"/>
      <c r="P82" s="252"/>
      <c r="Q82" s="252"/>
      <c r="R82" s="252"/>
      <c r="S82" s="252"/>
      <c r="T82" s="252"/>
      <c r="U82" s="252"/>
      <c r="V82" s="252"/>
      <c r="W82" s="252"/>
      <c r="X82" s="252"/>
      <c r="Y82" s="253"/>
      <c r="Z82" s="253"/>
      <c r="AA82" s="253"/>
      <c r="AB82" s="253"/>
      <c r="AC82" s="253"/>
      <c r="AD82" s="253"/>
      <c r="AE82" s="253"/>
      <c r="AF82" s="253"/>
      <c r="AG82" s="253"/>
      <c r="AH82" s="253"/>
      <c r="AI82" s="253"/>
      <c r="AJ82" s="253"/>
      <c r="AK82" s="253"/>
      <c r="AL82" s="253"/>
      <c r="AM82" s="253"/>
      <c r="AN82" s="253"/>
      <c r="AO82" s="253"/>
      <c r="AP82" s="253"/>
      <c r="AQ82" s="253"/>
      <c r="AR82" s="253"/>
      <c r="AS82" s="253"/>
      <c r="AT82" s="253"/>
      <c r="AU82" s="253"/>
      <c r="AV82" s="253"/>
      <c r="AW82" s="253"/>
      <c r="AX82" s="253"/>
      <c r="AY82" s="253"/>
      <c r="AZ82" s="253"/>
      <c r="BA82" s="253"/>
      <c r="BB82" s="253"/>
      <c r="BC82" s="253"/>
      <c r="BD82" s="253"/>
      <c r="BE82" s="253"/>
      <c r="BF82" s="253"/>
      <c r="BG82" s="253"/>
      <c r="BH82" s="253"/>
      <c r="BI82" s="253"/>
      <c r="BJ82" s="253"/>
      <c r="BK82" s="253"/>
      <c r="BL82" s="253"/>
    </row>
    <row r="83" spans="1:64" ht="15.75" customHeight="1" x14ac:dyDescent="0.2">
      <c r="A83" s="287" t="s">
        <v>215</v>
      </c>
      <c r="B83" s="286">
        <f>B76</f>
        <v>1.29536E-3</v>
      </c>
      <c r="C83" s="245">
        <f>C76</f>
        <v>4.2142970214400002</v>
      </c>
      <c r="D83" s="245">
        <f>D76</f>
        <v>4.3229809638400001</v>
      </c>
      <c r="E83" s="252"/>
      <c r="F83" s="252"/>
      <c r="G83" s="252"/>
      <c r="H83" s="252"/>
      <c r="I83" s="252"/>
      <c r="J83" s="252"/>
      <c r="K83" s="252"/>
      <c r="L83" s="252"/>
      <c r="M83" s="252"/>
      <c r="N83" s="252"/>
      <c r="O83" s="252"/>
      <c r="P83" s="252"/>
      <c r="Q83" s="252"/>
      <c r="R83" s="252"/>
      <c r="S83" s="252"/>
      <c r="T83" s="252"/>
      <c r="U83" s="252"/>
      <c r="V83" s="252"/>
      <c r="W83" s="252"/>
      <c r="X83" s="252"/>
      <c r="Y83" s="253"/>
      <c r="Z83" s="253"/>
      <c r="AA83" s="253"/>
      <c r="AB83" s="253"/>
      <c r="AC83" s="253"/>
      <c r="AD83" s="253"/>
      <c r="AE83" s="253"/>
      <c r="AF83" s="253"/>
      <c r="AG83" s="253"/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  <c r="BI83" s="253"/>
      <c r="BJ83" s="253"/>
      <c r="BK83" s="253"/>
      <c r="BL83" s="253"/>
    </row>
    <row r="84" spans="1:64" ht="15.75" customHeight="1" x14ac:dyDescent="0.2">
      <c r="A84" s="287" t="s">
        <v>216</v>
      </c>
      <c r="B84" s="286">
        <f>B79</f>
        <v>0</v>
      </c>
      <c r="C84" s="245">
        <f>C79</f>
        <v>0</v>
      </c>
      <c r="D84" s="245">
        <f>D79</f>
        <v>0</v>
      </c>
      <c r="E84" s="252"/>
      <c r="F84" s="252"/>
      <c r="G84" s="252"/>
      <c r="H84" s="252"/>
      <c r="I84" s="252"/>
      <c r="J84" s="252"/>
      <c r="K84" s="252"/>
      <c r="L84" s="252"/>
      <c r="M84" s="252"/>
      <c r="N84" s="252"/>
      <c r="O84" s="252"/>
      <c r="P84" s="252"/>
      <c r="Q84" s="252"/>
      <c r="R84" s="252"/>
      <c r="S84" s="252"/>
      <c r="T84" s="252"/>
      <c r="U84" s="252"/>
      <c r="V84" s="252"/>
      <c r="W84" s="252"/>
      <c r="X84" s="252"/>
      <c r="Y84" s="253"/>
      <c r="Z84" s="253"/>
      <c r="AA84" s="253"/>
      <c r="AB84" s="253"/>
      <c r="AC84" s="253"/>
      <c r="AD84" s="253"/>
      <c r="AE84" s="253"/>
      <c r="AF84" s="253"/>
      <c r="AG84" s="253"/>
      <c r="AH84" s="253"/>
      <c r="AI84" s="253"/>
      <c r="AJ84" s="253"/>
      <c r="AK84" s="253"/>
      <c r="AL84" s="253"/>
      <c r="AM84" s="253"/>
      <c r="AN84" s="253"/>
      <c r="AO84" s="253"/>
      <c r="AP84" s="253"/>
      <c r="AQ84" s="253"/>
      <c r="AR84" s="253"/>
      <c r="AS84" s="253"/>
      <c r="AT84" s="253"/>
      <c r="AU84" s="253"/>
      <c r="AV84" s="253"/>
      <c r="AW84" s="253"/>
      <c r="AX84" s="253"/>
      <c r="AY84" s="253"/>
      <c r="AZ84" s="253"/>
      <c r="BA84" s="253"/>
      <c r="BB84" s="253"/>
      <c r="BC84" s="253"/>
      <c r="BD84" s="253"/>
      <c r="BE84" s="253"/>
      <c r="BF84" s="253"/>
      <c r="BG84" s="253"/>
      <c r="BH84" s="253"/>
      <c r="BI84" s="253"/>
      <c r="BJ84" s="253"/>
      <c r="BK84" s="253"/>
      <c r="BL84" s="253"/>
    </row>
    <row r="85" spans="1:64" ht="15.75" customHeight="1" x14ac:dyDescent="0.2">
      <c r="A85" s="233" t="s">
        <v>164</v>
      </c>
      <c r="B85" s="277"/>
      <c r="C85" s="235">
        <f>SUM(C81:C84)</f>
        <v>272.64630510169007</v>
      </c>
      <c r="D85" s="235">
        <f>SUM(D81:D84)</f>
        <v>281.44978318096497</v>
      </c>
    </row>
    <row r="86" spans="1:64" ht="15.75" customHeight="1" x14ac:dyDescent="0.2">
      <c r="A86" s="271"/>
      <c r="B86" s="288"/>
      <c r="C86" s="238"/>
      <c r="D86" s="238"/>
    </row>
    <row r="87" spans="1:64" ht="16.5" customHeight="1" x14ac:dyDescent="0.2">
      <c r="A87" s="647" t="s">
        <v>217</v>
      </c>
      <c r="B87" s="647"/>
      <c r="C87" s="647"/>
      <c r="D87" s="647"/>
    </row>
    <row r="88" spans="1:64" ht="15.75" customHeight="1" x14ac:dyDescent="0.2">
      <c r="A88" s="289" t="s">
        <v>218</v>
      </c>
      <c r="B88" s="223" t="s">
        <v>181</v>
      </c>
      <c r="C88" s="284" t="s">
        <v>156</v>
      </c>
      <c r="D88" s="284" t="s">
        <v>156</v>
      </c>
    </row>
    <row r="89" spans="1:64" ht="15.75" customHeight="1" x14ac:dyDescent="0.25">
      <c r="A89" s="285" t="s">
        <v>219</v>
      </c>
      <c r="B89" s="290">
        <f>'VT, Uniforme e Plano Celular'!E44</f>
        <v>34.229999999999997</v>
      </c>
      <c r="C89" s="259">
        <f t="shared" ref="C89:D92" si="3">$B89</f>
        <v>34.229999999999997</v>
      </c>
      <c r="D89" s="259">
        <f t="shared" si="3"/>
        <v>34.229999999999997</v>
      </c>
    </row>
    <row r="90" spans="1:64" ht="15.75" customHeight="1" x14ac:dyDescent="0.25">
      <c r="A90" s="287" t="s">
        <v>220</v>
      </c>
      <c r="B90" s="291"/>
      <c r="C90" s="292">
        <f t="shared" si="3"/>
        <v>0</v>
      </c>
      <c r="D90" s="292">
        <f t="shared" si="3"/>
        <v>0</v>
      </c>
    </row>
    <row r="91" spans="1:64" ht="15.75" customHeight="1" x14ac:dyDescent="0.25">
      <c r="A91" s="287" t="s">
        <v>221</v>
      </c>
      <c r="B91" s="291"/>
      <c r="C91" s="292">
        <f t="shared" si="3"/>
        <v>0</v>
      </c>
      <c r="D91" s="292">
        <f t="shared" si="3"/>
        <v>0</v>
      </c>
    </row>
    <row r="92" spans="1:64" ht="15.75" customHeight="1" x14ac:dyDescent="0.25">
      <c r="A92" s="287" t="s">
        <v>222</v>
      </c>
      <c r="B92" s="291"/>
      <c r="C92" s="292">
        <f t="shared" si="3"/>
        <v>0</v>
      </c>
      <c r="D92" s="292">
        <f t="shared" si="3"/>
        <v>0</v>
      </c>
    </row>
    <row r="93" spans="1:64" ht="15.75" customHeight="1" x14ac:dyDescent="0.25">
      <c r="A93" s="293" t="s">
        <v>223</v>
      </c>
      <c r="B93" s="294">
        <f>'VT, Uniforme e Plano Celular'!D56</f>
        <v>58.62</v>
      </c>
      <c r="C93" s="292">
        <f>B93</f>
        <v>58.62</v>
      </c>
      <c r="D93" s="292">
        <f>B93</f>
        <v>58.62</v>
      </c>
    </row>
    <row r="94" spans="1:64" ht="15.75" customHeight="1" x14ac:dyDescent="0.2">
      <c r="A94" s="295" t="s">
        <v>164</v>
      </c>
      <c r="B94" s="296"/>
      <c r="C94" s="235">
        <f>SUM(C89:C93)</f>
        <v>92.85</v>
      </c>
      <c r="D94" s="235">
        <f>SUM(D89:D93)</f>
        <v>92.85</v>
      </c>
    </row>
    <row r="95" spans="1:64" ht="15.75" customHeight="1" x14ac:dyDescent="0.2">
      <c r="A95" s="271"/>
      <c r="B95" s="288"/>
      <c r="C95" s="238"/>
      <c r="D95" s="238"/>
    </row>
    <row r="96" spans="1:64" ht="16.5" customHeight="1" x14ac:dyDescent="0.2">
      <c r="A96" s="647" t="s">
        <v>224</v>
      </c>
      <c r="B96" s="647"/>
      <c r="C96" s="647"/>
      <c r="D96" s="647"/>
    </row>
    <row r="97" spans="1:4" ht="15.75" customHeight="1" thickBot="1" x14ac:dyDescent="0.25">
      <c r="A97" s="221" t="s">
        <v>225</v>
      </c>
      <c r="B97" s="223" t="s">
        <v>167</v>
      </c>
      <c r="C97" s="284" t="s">
        <v>156</v>
      </c>
      <c r="D97" s="284" t="s">
        <v>156</v>
      </c>
    </row>
    <row r="98" spans="1:4" ht="15.75" customHeight="1" thickTop="1" x14ac:dyDescent="0.2">
      <c r="A98" s="224" t="s">
        <v>226</v>
      </c>
      <c r="B98" s="317">
        <v>0.05</v>
      </c>
      <c r="C98" s="298">
        <f>(C$22+C$51+C$61+C$85+C$94)*$B98</f>
        <v>180.94376525508451</v>
      </c>
      <c r="D98" s="298">
        <f>(D$22+D$51+D$61+D$85+D$94)*$B98</f>
        <v>185.57906415904824</v>
      </c>
    </row>
    <row r="99" spans="1:4" ht="15.75" customHeight="1" x14ac:dyDescent="0.2">
      <c r="A99" s="224" t="s">
        <v>227</v>
      </c>
      <c r="B99" s="317">
        <v>0.1</v>
      </c>
      <c r="C99" s="299">
        <f>(C$22+C$51+C$61+C$85+C$94+C$98)*$B99</f>
        <v>379.98190703567752</v>
      </c>
      <c r="D99" s="299">
        <f>(D$22+D$51+D$61+D$85+D$94+D$98)*$B99</f>
        <v>389.71603473400137</v>
      </c>
    </row>
    <row r="100" spans="1:4" ht="15.75" customHeight="1" x14ac:dyDescent="0.2">
      <c r="A100" s="300" t="s">
        <v>250</v>
      </c>
      <c r="B100" s="301">
        <f>B101+B102</f>
        <v>5.6499999999999995E-2</v>
      </c>
      <c r="C100" s="302">
        <f>((C$22+C$51+C$61+C$85+C$94+C$98+C$99)/(1-($B100)))*$B100</f>
        <v>250.30074745381404</v>
      </c>
      <c r="D100" s="302">
        <f>((D$22+D$51+D$61+D$85+D$94+D$98+D$99)/(1-($B100)))*$B100</f>
        <v>256.71278811572</v>
      </c>
    </row>
    <row r="101" spans="1:4" ht="15.75" customHeight="1" x14ac:dyDescent="0.2">
      <c r="A101" s="303" t="s">
        <v>229</v>
      </c>
      <c r="B101" s="297">
        <v>3.6499999999999998E-2</v>
      </c>
      <c r="C101" s="299">
        <f>((C$22+C$51+C$61+C$85+C$94+C$98+C$99)/(1-($B$100)))*$B101</f>
        <v>161.69871295688873</v>
      </c>
      <c r="D101" s="299">
        <f>((D$22+D$51+D$61+D$85+D$94+D$98+D$99)/(1-($B$100)))*$B101</f>
        <v>165.84100471192534</v>
      </c>
    </row>
    <row r="102" spans="1:4" ht="15.75" customHeight="1" x14ac:dyDescent="0.2">
      <c r="A102" s="303" t="s">
        <v>230</v>
      </c>
      <c r="B102" s="275">
        <v>0.02</v>
      </c>
      <c r="C102" s="299">
        <f>((C$22+C$51+C$61+C$85+C$94+C$98+C$99)/(1-($B$100)))*$B102</f>
        <v>88.602034496925342</v>
      </c>
      <c r="D102" s="299">
        <f>((D$22+D$51+D$61+D$85+D$94+D$98+D$99)/(1-($B$100)))*$B102</f>
        <v>90.871783403794709</v>
      </c>
    </row>
    <row r="103" spans="1:4" ht="15.75" customHeight="1" x14ac:dyDescent="0.2">
      <c r="A103" s="300" t="s">
        <v>255</v>
      </c>
      <c r="B103" s="301">
        <f>B104+B105</f>
        <v>7.1500000000000008E-2</v>
      </c>
      <c r="C103" s="302">
        <f>((C$22+C$51+C$61+C$85+C$94+C$98+C$99)/(1-($B103)))*$B103</f>
        <v>321.86943444648398</v>
      </c>
      <c r="D103" s="302">
        <f>((D$22+D$51+D$61+D$85+D$94+D$98+D$99)/(1-($B103)))*$B103</f>
        <v>330.11487487161241</v>
      </c>
    </row>
    <row r="104" spans="1:4" ht="15.75" customHeight="1" x14ac:dyDescent="0.2">
      <c r="A104" s="303" t="s">
        <v>229</v>
      </c>
      <c r="B104" s="275">
        <f>B$101</f>
        <v>3.6499999999999998E-2</v>
      </c>
      <c r="C104" s="299">
        <f>((C$22+C$51+C$61+C$85+C$94+C$98+C$99)/(1-($B$103)))*$B104</f>
        <v>164.31097003212116</v>
      </c>
      <c r="D104" s="299">
        <f>((D$22+D$51+D$61+D$85+D$94+D$98+D$99)/(1-($B$103)))*$B104</f>
        <v>168.52018087851539</v>
      </c>
    </row>
    <row r="105" spans="1:4" ht="15.75" customHeight="1" x14ac:dyDescent="0.2">
      <c r="A105" s="303" t="s">
        <v>230</v>
      </c>
      <c r="B105" s="275">
        <v>3.5000000000000003E-2</v>
      </c>
      <c r="C105" s="299">
        <f>((C$22+C$51+C$61+C$85+C$94+C$98+C$99)/(1-($B$103)))*$B105</f>
        <v>157.55846441436279</v>
      </c>
      <c r="D105" s="299">
        <f>((D$22+D$51+D$61+D$85+D$94+D$98+D$99)/(1-($B$103)))*$B105</f>
        <v>161.59469399309697</v>
      </c>
    </row>
    <row r="106" spans="1:4" ht="15.75" customHeight="1" x14ac:dyDescent="0.2">
      <c r="A106" s="300" t="s">
        <v>231</v>
      </c>
      <c r="B106" s="301">
        <f>B107+B108</f>
        <v>8.6499999999999994E-2</v>
      </c>
      <c r="C106" s="302">
        <f>((C$22+C$51+C$61+C$85+C$94+C$98+C$99)/(1-($B106)))*$B106</f>
        <v>395.78848882807569</v>
      </c>
      <c r="D106" s="302">
        <f>((D$22+D$51+D$61+D$85+D$94+D$98+D$99)/(1-($B106)))*$B106</f>
        <v>405.92753918927451</v>
      </c>
    </row>
    <row r="107" spans="1:4" ht="15.75" customHeight="1" x14ac:dyDescent="0.2">
      <c r="A107" s="303" t="s">
        <v>229</v>
      </c>
      <c r="B107" s="275">
        <f>B$101</f>
        <v>3.6499999999999998E-2</v>
      </c>
      <c r="C107" s="299">
        <f>((C$22+C$51+C$61+C$85+C$94+C$98+C$99)/(1-($B$106)))*$B107</f>
        <v>167.00901551704928</v>
      </c>
      <c r="D107" s="299">
        <f>((D$22+D$51+D$61+D$85+D$94+D$98+D$99)/(1-($B$106)))*$B107</f>
        <v>171.28734312611004</v>
      </c>
    </row>
    <row r="108" spans="1:4" ht="15.75" customHeight="1" x14ac:dyDescent="0.2">
      <c r="A108" s="303" t="s">
        <v>230</v>
      </c>
      <c r="B108" s="275">
        <v>0.05</v>
      </c>
      <c r="C108" s="299">
        <f>((C$22+C$51+C$61+C$85+C$94+C$98+C$99)/(1-($B$106)))*$B108</f>
        <v>228.77947331102644</v>
      </c>
      <c r="D108" s="299">
        <f>((D$22+D$51+D$61+D$85+D$94+D$98+D$99)/(1-($B$106)))*$B108</f>
        <v>234.64019606316447</v>
      </c>
    </row>
    <row r="109" spans="1:4" ht="15.75" customHeight="1" x14ac:dyDescent="0.2">
      <c r="A109" s="657" t="s">
        <v>232</v>
      </c>
      <c r="B109" s="304">
        <f>B102</f>
        <v>0.02</v>
      </c>
      <c r="C109" s="235">
        <f>SUM(C98:C100)</f>
        <v>811.22641974457611</v>
      </c>
      <c r="D109" s="235">
        <f>SUM(D98:D100)</f>
        <v>832.00788700876956</v>
      </c>
    </row>
    <row r="110" spans="1:4" ht="15.75" customHeight="1" x14ac:dyDescent="0.2">
      <c r="A110" s="657"/>
      <c r="B110" s="304">
        <f>B105</f>
        <v>3.5000000000000003E-2</v>
      </c>
      <c r="C110" s="235">
        <f>SUM(C98,C99,C103)</f>
        <v>882.79510673724599</v>
      </c>
      <c r="D110" s="235">
        <f>SUM(D98,D99,D103)</f>
        <v>905.40997376466203</v>
      </c>
    </row>
    <row r="111" spans="1:4" ht="15.75" customHeight="1" x14ac:dyDescent="0.2">
      <c r="A111" s="657"/>
      <c r="B111" s="304">
        <f>B108</f>
        <v>0.05</v>
      </c>
      <c r="C111" s="235">
        <f>SUM(C98,C99,C106)</f>
        <v>956.71416111883764</v>
      </c>
      <c r="D111" s="235">
        <f>SUM(D98,D99,D106)</f>
        <v>981.22263808232412</v>
      </c>
    </row>
    <row r="112" spans="1:4" ht="26.45" customHeight="1" x14ac:dyDescent="0.2">
      <c r="A112" s="271"/>
      <c r="B112" s="288"/>
      <c r="C112" s="238"/>
      <c r="D112" s="238"/>
    </row>
    <row r="113" spans="1:8" ht="15" customHeight="1" x14ac:dyDescent="0.2">
      <c r="A113" s="236"/>
      <c r="B113" s="237"/>
      <c r="C113" s="237"/>
      <c r="D113" s="237"/>
    </row>
    <row r="114" spans="1:8" ht="28.15" customHeight="1" x14ac:dyDescent="0.2">
      <c r="A114" s="658" t="s">
        <v>233</v>
      </c>
      <c r="B114" s="658"/>
      <c r="C114" s="305" t="s">
        <v>234</v>
      </c>
      <c r="D114" s="305" t="s">
        <v>235</v>
      </c>
    </row>
    <row r="115" spans="1:8" ht="15" customHeight="1" x14ac:dyDescent="0.2">
      <c r="A115" s="659" t="s">
        <v>236</v>
      </c>
      <c r="B115" s="659"/>
      <c r="C115" s="306" t="s">
        <v>156</v>
      </c>
      <c r="D115" s="306" t="s">
        <v>156</v>
      </c>
    </row>
    <row r="116" spans="1:8" ht="15" customHeight="1" x14ac:dyDescent="0.2">
      <c r="A116" s="656" t="s">
        <v>237</v>
      </c>
      <c r="B116" s="656"/>
      <c r="C116" s="307">
        <f>C22</f>
        <v>1698</v>
      </c>
      <c r="D116" s="307">
        <f>D22</f>
        <v>1753</v>
      </c>
    </row>
    <row r="117" spans="1:8" ht="15" customHeight="1" x14ac:dyDescent="0.2">
      <c r="A117" s="656" t="s">
        <v>238</v>
      </c>
      <c r="B117" s="656"/>
      <c r="C117" s="307">
        <f>C51</f>
        <v>1444.1600000000003</v>
      </c>
      <c r="D117" s="307">
        <f>D51</f>
        <v>1469.46</v>
      </c>
    </row>
    <row r="118" spans="1:8" ht="15.75" customHeight="1" x14ac:dyDescent="0.2">
      <c r="A118" s="656" t="s">
        <v>239</v>
      </c>
      <c r="B118" s="656"/>
      <c r="C118" s="307">
        <f>C61</f>
        <v>111.21899999999999</v>
      </c>
      <c r="D118" s="307">
        <f>D61</f>
        <v>114.82149999999999</v>
      </c>
    </row>
    <row r="119" spans="1:8" ht="15.75" customHeight="1" x14ac:dyDescent="0.2">
      <c r="A119" s="656" t="s">
        <v>240</v>
      </c>
      <c r="B119" s="656"/>
      <c r="C119" s="307">
        <f>C85</f>
        <v>272.64630510169007</v>
      </c>
      <c r="D119" s="307">
        <f>D85</f>
        <v>281.44978318096497</v>
      </c>
    </row>
    <row r="120" spans="1:8" ht="15.75" customHeight="1" x14ac:dyDescent="0.2">
      <c r="A120" s="656" t="s">
        <v>241</v>
      </c>
      <c r="B120" s="656"/>
      <c r="C120" s="307">
        <f>C94</f>
        <v>92.85</v>
      </c>
      <c r="D120" s="307">
        <f>D94</f>
        <v>92.85</v>
      </c>
    </row>
    <row r="121" spans="1:8" ht="15.75" customHeight="1" x14ac:dyDescent="0.2">
      <c r="A121" s="661" t="s">
        <v>242</v>
      </c>
      <c r="B121" s="661"/>
      <c r="C121" s="308">
        <f>SUM(C116:C120)</f>
        <v>3618.8753051016902</v>
      </c>
      <c r="D121" s="308">
        <f>SUM(D116:D120)</f>
        <v>3711.5812831809649</v>
      </c>
    </row>
    <row r="122" spans="1:8" ht="15.75" customHeight="1" x14ac:dyDescent="0.2">
      <c r="A122" s="656" t="s">
        <v>251</v>
      </c>
      <c r="B122" s="656"/>
      <c r="C122" s="307">
        <f t="shared" ref="C122:D124" si="4">C109</f>
        <v>811.22641974457611</v>
      </c>
      <c r="D122" s="307">
        <f t="shared" si="4"/>
        <v>832.00788700876956</v>
      </c>
    </row>
    <row r="123" spans="1:8" ht="15.75" customHeight="1" x14ac:dyDescent="0.2">
      <c r="A123" s="656" t="s">
        <v>457</v>
      </c>
      <c r="B123" s="656"/>
      <c r="C123" s="307">
        <f t="shared" si="4"/>
        <v>882.79510673724599</v>
      </c>
      <c r="D123" s="307">
        <f t="shared" si="4"/>
        <v>905.40997376466203</v>
      </c>
    </row>
    <row r="124" spans="1:8" ht="15.75" customHeight="1" x14ac:dyDescent="0.2">
      <c r="A124" s="656" t="s">
        <v>244</v>
      </c>
      <c r="B124" s="656"/>
      <c r="C124" s="307">
        <f t="shared" si="4"/>
        <v>956.71416111883764</v>
      </c>
      <c r="D124" s="307">
        <f t="shared" si="4"/>
        <v>981.22263808232412</v>
      </c>
      <c r="F124" s="203">
        <f>C127/220</f>
        <v>20.798090909090909</v>
      </c>
      <c r="G124" s="203">
        <v>60</v>
      </c>
      <c r="H124" s="203">
        <f>F124*8</f>
        <v>166.38472727272728</v>
      </c>
    </row>
    <row r="125" spans="1:8" ht="14.65" customHeight="1" x14ac:dyDescent="0.2">
      <c r="A125" s="662" t="s">
        <v>245</v>
      </c>
      <c r="B125" s="305" t="s">
        <v>252</v>
      </c>
      <c r="C125" s="309">
        <f>TRUNC(SUM(C121,C122),2)</f>
        <v>4430.1000000000004</v>
      </c>
      <c r="D125" s="309">
        <f>TRUNC(SUM(D121,D122),2)</f>
        <v>4543.58</v>
      </c>
      <c r="F125" s="203">
        <f>G125*F124/G124</f>
        <v>16.638472727272728</v>
      </c>
      <c r="G125" s="203">
        <v>48</v>
      </c>
      <c r="H125" s="203">
        <f>H124+F125</f>
        <v>183.0232</v>
      </c>
    </row>
    <row r="126" spans="1:8" ht="14.65" customHeight="1" x14ac:dyDescent="0.2">
      <c r="A126" s="662"/>
      <c r="B126" s="305" t="s">
        <v>257</v>
      </c>
      <c r="C126" s="309">
        <f>TRUNC(SUM(C121,C123),2)</f>
        <v>4501.67</v>
      </c>
      <c r="D126" s="309">
        <f>TRUNC(SUM(D121,D123),2)</f>
        <v>4616.99</v>
      </c>
    </row>
    <row r="127" spans="1:8" ht="14.65" customHeight="1" x14ac:dyDescent="0.2">
      <c r="A127" s="662"/>
      <c r="B127" s="464" t="s">
        <v>247</v>
      </c>
      <c r="C127" s="309">
        <f>TRUNC(SUM(C121,C124),2)</f>
        <v>4575.58</v>
      </c>
      <c r="D127" s="309">
        <f>TRUNC(SUM(D121,D124),2)</f>
        <v>4692.8</v>
      </c>
      <c r="E127" s="203">
        <v>60</v>
      </c>
      <c r="F127" s="203">
        <v>1</v>
      </c>
    </row>
    <row r="128" spans="1:8" ht="14.65" customHeight="1" x14ac:dyDescent="0.2">
      <c r="A128" s="662" t="s">
        <v>458</v>
      </c>
      <c r="B128" s="464" t="str">
        <f>B125</f>
        <v>ISS 2,00%</v>
      </c>
      <c r="C128" s="309">
        <f t="shared" ref="C128:D130" si="5">C125/220*8.8</f>
        <v>177.20400000000001</v>
      </c>
      <c r="D128" s="309">
        <f t="shared" si="5"/>
        <v>181.74320000000003</v>
      </c>
      <c r="E128" s="310">
        <v>48</v>
      </c>
      <c r="F128" s="203">
        <f>E128*F127/E127</f>
        <v>0.8</v>
      </c>
    </row>
    <row r="129" spans="1:6" ht="14.65" customHeight="1" x14ac:dyDescent="0.2">
      <c r="A129" s="662"/>
      <c r="B129" s="464" t="str">
        <f>B126</f>
        <v>ISS 3,50%</v>
      </c>
      <c r="C129" s="309">
        <f t="shared" si="5"/>
        <v>180.06680000000003</v>
      </c>
      <c r="D129" s="309">
        <f t="shared" si="5"/>
        <v>184.67959999999999</v>
      </c>
      <c r="E129" s="203">
        <v>30</v>
      </c>
      <c r="F129" s="203">
        <f>E129*F127/E127</f>
        <v>0.5</v>
      </c>
    </row>
    <row r="130" spans="1:6" ht="14.65" customHeight="1" x14ac:dyDescent="0.2">
      <c r="A130" s="662"/>
      <c r="B130" s="464" t="str">
        <f>B127</f>
        <v>ISS 5,00%</v>
      </c>
      <c r="C130" s="309">
        <f t="shared" si="5"/>
        <v>183.02320000000003</v>
      </c>
      <c r="D130" s="309">
        <f t="shared" si="5"/>
        <v>187.71200000000002</v>
      </c>
    </row>
    <row r="132" spans="1:6" ht="55.9" customHeight="1" x14ac:dyDescent="0.2">
      <c r="A132" s="660" t="s">
        <v>248</v>
      </c>
      <c r="B132" s="660"/>
      <c r="C132" s="660"/>
      <c r="D132" s="660"/>
    </row>
  </sheetData>
  <mergeCells count="26">
    <mergeCell ref="A125:A127"/>
    <mergeCell ref="A128:A130"/>
    <mergeCell ref="A132:D132"/>
    <mergeCell ref="A120:B120"/>
    <mergeCell ref="A121:B121"/>
    <mergeCell ref="A122:B122"/>
    <mergeCell ref="A123:B123"/>
    <mergeCell ref="A124:B124"/>
    <mergeCell ref="A119:B119"/>
    <mergeCell ref="A24:D24"/>
    <mergeCell ref="A53:D53"/>
    <mergeCell ref="A63:D63"/>
    <mergeCell ref="A87:D87"/>
    <mergeCell ref="A96:D96"/>
    <mergeCell ref="A109:A111"/>
    <mergeCell ref="A114:B114"/>
    <mergeCell ref="A115:B115"/>
    <mergeCell ref="A116:B116"/>
    <mergeCell ref="A117:B117"/>
    <mergeCell ref="A118:B118"/>
    <mergeCell ref="A13:D13"/>
    <mergeCell ref="A1:D1"/>
    <mergeCell ref="A2:D2"/>
    <mergeCell ref="A3:D3"/>
    <mergeCell ref="A4:D4"/>
    <mergeCell ref="A6:D6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32"/>
  <sheetViews>
    <sheetView workbookViewId="0">
      <selection activeCell="D5" sqref="D1:D1048576"/>
    </sheetView>
  </sheetViews>
  <sheetFormatPr defaultRowHeight="14.65" customHeight="1" x14ac:dyDescent="0.2"/>
  <cols>
    <col min="1" max="1" width="63.5" style="203" customWidth="1"/>
    <col min="2" max="2" width="18.625" style="203" customWidth="1"/>
    <col min="3" max="4" width="15.75" style="203" customWidth="1"/>
    <col min="5" max="24" width="8.625" style="203" customWidth="1"/>
    <col min="25" max="64" width="8.625" style="204" customWidth="1"/>
  </cols>
  <sheetData>
    <row r="1" spans="1:4" ht="19.350000000000001" customHeight="1" x14ac:dyDescent="0.2">
      <c r="A1" s="665" t="s">
        <v>475</v>
      </c>
      <c r="B1" s="665"/>
      <c r="C1" s="665"/>
      <c r="D1" s="665"/>
    </row>
    <row r="2" spans="1:4" ht="14.65" customHeight="1" x14ac:dyDescent="0.2">
      <c r="A2" s="666" t="s">
        <v>71</v>
      </c>
      <c r="B2" s="666"/>
      <c r="C2" s="666"/>
      <c r="D2" s="666"/>
    </row>
    <row r="3" spans="1:4" ht="14.65" customHeight="1" x14ac:dyDescent="0.2">
      <c r="A3" s="667" t="s">
        <v>72</v>
      </c>
      <c r="B3" s="667"/>
      <c r="C3" s="667"/>
      <c r="D3" s="667"/>
    </row>
    <row r="4" spans="1:4" ht="24.4" customHeight="1" x14ac:dyDescent="0.2">
      <c r="A4" s="590" t="s">
        <v>140</v>
      </c>
      <c r="B4" s="590"/>
      <c r="C4" s="590"/>
      <c r="D4" s="590"/>
    </row>
    <row r="5" spans="1:4" ht="14.65" customHeight="1" x14ac:dyDescent="0.2">
      <c r="A5" s="461"/>
      <c r="B5" s="461"/>
      <c r="C5" s="461"/>
      <c r="D5" s="461"/>
    </row>
    <row r="6" spans="1:4" ht="17.100000000000001" customHeight="1" thickBot="1" x14ac:dyDescent="0.25">
      <c r="A6" s="648" t="s">
        <v>253</v>
      </c>
      <c r="B6" s="648"/>
      <c r="C6" s="648"/>
      <c r="D6" s="648"/>
    </row>
    <row r="7" spans="1:4" ht="15.75" customHeight="1" thickBot="1" x14ac:dyDescent="0.25">
      <c r="A7" s="205"/>
      <c r="B7" s="206" t="s">
        <v>142</v>
      </c>
      <c r="C7" s="451">
        <v>1698</v>
      </c>
      <c r="D7" s="451">
        <v>1753</v>
      </c>
    </row>
    <row r="8" spans="1:4" ht="14.65" customHeight="1" thickBot="1" x14ac:dyDescent="0.25">
      <c r="A8" s="208"/>
      <c r="B8" s="209" t="s">
        <v>143</v>
      </c>
      <c r="C8" s="455">
        <v>44470</v>
      </c>
      <c r="D8" s="455">
        <v>44470</v>
      </c>
    </row>
    <row r="9" spans="1:4" ht="14.65" customHeight="1" thickBot="1" x14ac:dyDescent="0.25">
      <c r="A9" s="211" t="s">
        <v>439</v>
      </c>
      <c r="B9" s="209" t="s">
        <v>144</v>
      </c>
      <c r="C9" s="456" t="s">
        <v>434</v>
      </c>
      <c r="D9" s="456" t="s">
        <v>434</v>
      </c>
    </row>
    <row r="10" spans="1:4" ht="14.65" customHeight="1" x14ac:dyDescent="0.2">
      <c r="A10" s="213"/>
      <c r="B10" s="214" t="s">
        <v>146</v>
      </c>
      <c r="C10" s="215" t="s">
        <v>147</v>
      </c>
      <c r="D10" s="215" t="s">
        <v>148</v>
      </c>
    </row>
    <row r="11" spans="1:4" ht="12.75" customHeight="1" x14ac:dyDescent="0.2">
      <c r="A11" s="216"/>
      <c r="B11" s="217"/>
      <c r="C11" s="218"/>
      <c r="D11" s="218"/>
    </row>
    <row r="12" spans="1:4" ht="45" customHeight="1" x14ac:dyDescent="0.2">
      <c r="A12" s="219" t="s">
        <v>149</v>
      </c>
      <c r="B12" s="220" t="s">
        <v>150</v>
      </c>
      <c r="C12" s="220" t="s">
        <v>151</v>
      </c>
      <c r="D12" s="220" t="s">
        <v>152</v>
      </c>
    </row>
    <row r="13" spans="1:4" ht="16.5" customHeight="1" x14ac:dyDescent="0.2">
      <c r="A13" s="647" t="s">
        <v>153</v>
      </c>
      <c r="B13" s="647"/>
      <c r="C13" s="647"/>
      <c r="D13" s="647"/>
    </row>
    <row r="14" spans="1:4" ht="15.75" customHeight="1" x14ac:dyDescent="0.2">
      <c r="A14" s="221" t="s">
        <v>154</v>
      </c>
      <c r="B14" s="222" t="s">
        <v>155</v>
      </c>
      <c r="C14" s="223" t="s">
        <v>156</v>
      </c>
      <c r="D14" s="223" t="s">
        <v>156</v>
      </c>
    </row>
    <row r="15" spans="1:4" ht="15.75" customHeight="1" x14ac:dyDescent="0.25">
      <c r="A15" s="224" t="s">
        <v>157</v>
      </c>
      <c r="B15" s="225"/>
      <c r="C15" s="313">
        <f>C7</f>
        <v>1698</v>
      </c>
      <c r="D15" s="313">
        <f>D7</f>
        <v>1753</v>
      </c>
    </row>
    <row r="16" spans="1:4" ht="15.75" customHeight="1" x14ac:dyDescent="0.25">
      <c r="A16" s="224" t="s">
        <v>158</v>
      </c>
      <c r="B16" s="229"/>
      <c r="C16" s="314">
        <v>0</v>
      </c>
      <c r="D16" s="314">
        <v>0</v>
      </c>
    </row>
    <row r="17" spans="1:64" ht="15.75" customHeight="1" x14ac:dyDescent="0.25">
      <c r="A17" s="224" t="s">
        <v>159</v>
      </c>
      <c r="B17" s="229"/>
      <c r="C17" s="313">
        <v>0</v>
      </c>
      <c r="D17" s="313">
        <v>0</v>
      </c>
    </row>
    <row r="18" spans="1:64" ht="15.75" customHeight="1" x14ac:dyDescent="0.25">
      <c r="A18" s="224" t="s">
        <v>254</v>
      </c>
      <c r="B18" s="229"/>
      <c r="C18" s="313"/>
      <c r="D18" s="313"/>
    </row>
    <row r="19" spans="1:64" ht="15.75" customHeight="1" x14ac:dyDescent="0.25">
      <c r="A19" s="224" t="s">
        <v>161</v>
      </c>
      <c r="B19" s="229"/>
      <c r="C19" s="313"/>
      <c r="D19" s="313"/>
    </row>
    <row r="20" spans="1:64" ht="15.75" customHeight="1" x14ac:dyDescent="0.25">
      <c r="A20" s="224" t="s">
        <v>162</v>
      </c>
      <c r="B20" s="229"/>
      <c r="C20" s="313"/>
      <c r="D20" s="313"/>
    </row>
    <row r="21" spans="1:64" ht="15.75" customHeight="1" x14ac:dyDescent="0.25">
      <c r="A21" s="224" t="s">
        <v>163</v>
      </c>
      <c r="B21" s="232"/>
      <c r="C21" s="313"/>
      <c r="D21" s="313"/>
    </row>
    <row r="22" spans="1:64" ht="15.75" customHeight="1" x14ac:dyDescent="0.2">
      <c r="A22" s="233" t="s">
        <v>164</v>
      </c>
      <c r="B22" s="234"/>
      <c r="C22" s="235">
        <f>SUM(C15:C21)</f>
        <v>1698</v>
      </c>
      <c r="D22" s="235">
        <f>SUM(D15:D21)</f>
        <v>1753</v>
      </c>
    </row>
    <row r="23" spans="1:64" ht="15.75" customHeight="1" x14ac:dyDescent="0.2">
      <c r="A23" s="236"/>
      <c r="B23" s="237"/>
      <c r="C23" s="238"/>
      <c r="D23" s="238"/>
    </row>
    <row r="24" spans="1:64" ht="16.149999999999999" customHeight="1" x14ac:dyDescent="0.2">
      <c r="A24" s="647" t="s">
        <v>165</v>
      </c>
      <c r="B24" s="647"/>
      <c r="C24" s="647"/>
      <c r="D24" s="647"/>
    </row>
    <row r="25" spans="1:64" ht="15.75" customHeight="1" x14ac:dyDescent="0.2">
      <c r="A25" s="239" t="s">
        <v>166</v>
      </c>
      <c r="B25" s="240" t="s">
        <v>167</v>
      </c>
      <c r="C25" s="240" t="s">
        <v>156</v>
      </c>
      <c r="D25" s="240" t="s">
        <v>156</v>
      </c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  <c r="BI25" s="216"/>
      <c r="BJ25" s="216"/>
      <c r="BK25" s="216"/>
      <c r="BL25" s="216"/>
    </row>
    <row r="26" spans="1:64" ht="15.75" customHeight="1" x14ac:dyDescent="0.2">
      <c r="A26" s="241" t="s">
        <v>168</v>
      </c>
      <c r="B26" s="242">
        <f>1/12</f>
        <v>8.3333333333333329E-2</v>
      </c>
      <c r="C26" s="243">
        <f>$B26*C15</f>
        <v>141.5</v>
      </c>
      <c r="D26" s="243">
        <f>$B26*D15</f>
        <v>146.08333333333331</v>
      </c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  <c r="BI26" s="216"/>
      <c r="BJ26" s="216"/>
      <c r="BK26" s="216"/>
      <c r="BL26" s="216"/>
    </row>
    <row r="27" spans="1:64" ht="15.75" customHeight="1" x14ac:dyDescent="0.2">
      <c r="A27" s="224" t="s">
        <v>169</v>
      </c>
      <c r="B27" s="244">
        <f>1/3*1/12</f>
        <v>2.7777777777777776E-2</v>
      </c>
      <c r="C27" s="245">
        <f>C15*$B27</f>
        <v>47.166666666666664</v>
      </c>
      <c r="D27" s="245">
        <f>D15*$B27</f>
        <v>48.694444444444443</v>
      </c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  <c r="BI27" s="216"/>
      <c r="BJ27" s="216"/>
      <c r="BK27" s="216"/>
      <c r="BL27" s="216"/>
    </row>
    <row r="28" spans="1:64" ht="15.75" customHeight="1" x14ac:dyDescent="0.2">
      <c r="A28" s="246" t="s">
        <v>170</v>
      </c>
      <c r="B28" s="247">
        <f>SUM(B26:B27)</f>
        <v>0.1111111111111111</v>
      </c>
      <c r="C28" s="235">
        <f>SUM(C26:C27)</f>
        <v>188.66666666666666</v>
      </c>
      <c r="D28" s="235">
        <f>SUM(D26:D27)</f>
        <v>194.77777777777777</v>
      </c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  <c r="BI28" s="216"/>
      <c r="BJ28" s="216"/>
      <c r="BK28" s="216"/>
      <c r="BL28" s="216"/>
    </row>
    <row r="29" spans="1:64" ht="27.6" customHeight="1" x14ac:dyDescent="0.2">
      <c r="A29" s="248" t="s">
        <v>171</v>
      </c>
      <c r="B29" s="249" t="s">
        <v>167</v>
      </c>
      <c r="C29" s="249" t="s">
        <v>156</v>
      </c>
      <c r="D29" s="249" t="s">
        <v>156</v>
      </c>
    </row>
    <row r="30" spans="1:64" ht="15.75" customHeight="1" x14ac:dyDescent="0.2">
      <c r="A30" s="224" t="s">
        <v>172</v>
      </c>
      <c r="B30" s="250">
        <v>0.2</v>
      </c>
      <c r="C30" s="251">
        <f t="shared" ref="C30:C37" si="0">($C$22+$C$28)*$B30</f>
        <v>377.33333333333337</v>
      </c>
      <c r="D30" s="251">
        <f t="shared" ref="D30:D37" si="1">($D$22+$D$28)*$B30</f>
        <v>389.5555555555556</v>
      </c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</row>
    <row r="31" spans="1:64" ht="15.75" customHeight="1" x14ac:dyDescent="0.2">
      <c r="A31" s="224" t="s">
        <v>173</v>
      </c>
      <c r="B31" s="250">
        <v>2.5000000000000001E-2</v>
      </c>
      <c r="C31" s="251">
        <f t="shared" si="0"/>
        <v>47.166666666666671</v>
      </c>
      <c r="D31" s="251">
        <f t="shared" si="1"/>
        <v>48.69444444444445</v>
      </c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</row>
    <row r="32" spans="1:64" ht="15.75" customHeight="1" x14ac:dyDescent="0.2">
      <c r="A32" s="224" t="s">
        <v>174</v>
      </c>
      <c r="B32" s="254">
        <v>0.03</v>
      </c>
      <c r="C32" s="251">
        <f t="shared" si="0"/>
        <v>56.6</v>
      </c>
      <c r="D32" s="251">
        <f t="shared" si="1"/>
        <v>58.43333333333333</v>
      </c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</row>
    <row r="33" spans="1:64" ht="15.75" customHeight="1" x14ac:dyDescent="0.2">
      <c r="A33" s="224" t="s">
        <v>175</v>
      </c>
      <c r="B33" s="250">
        <v>1.4999999999999999E-2</v>
      </c>
      <c r="C33" s="251">
        <f t="shared" si="0"/>
        <v>28.3</v>
      </c>
      <c r="D33" s="251">
        <f t="shared" si="1"/>
        <v>29.216666666666665</v>
      </c>
      <c r="E33" s="252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</row>
    <row r="34" spans="1:64" ht="15.75" customHeight="1" x14ac:dyDescent="0.2">
      <c r="A34" s="224" t="s">
        <v>176</v>
      </c>
      <c r="B34" s="250">
        <v>0.01</v>
      </c>
      <c r="C34" s="251">
        <f t="shared" si="0"/>
        <v>18.866666666666667</v>
      </c>
      <c r="D34" s="251">
        <f t="shared" si="1"/>
        <v>19.477777777777778</v>
      </c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</row>
    <row r="35" spans="1:64" ht="15.75" customHeight="1" x14ac:dyDescent="0.2">
      <c r="A35" s="224" t="s">
        <v>177</v>
      </c>
      <c r="B35" s="250">
        <v>6.0000000000000001E-3</v>
      </c>
      <c r="C35" s="251">
        <f t="shared" si="0"/>
        <v>11.32</v>
      </c>
      <c r="D35" s="251">
        <f t="shared" si="1"/>
        <v>11.686666666666667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</row>
    <row r="36" spans="1:64" ht="15.75" customHeight="1" x14ac:dyDescent="0.2">
      <c r="A36" s="224" t="s">
        <v>178</v>
      </c>
      <c r="B36" s="250">
        <v>2E-3</v>
      </c>
      <c r="C36" s="251">
        <f t="shared" si="0"/>
        <v>3.7733333333333334</v>
      </c>
      <c r="D36" s="251">
        <f t="shared" si="1"/>
        <v>3.8955555555555557</v>
      </c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3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  <c r="BI36" s="253"/>
      <c r="BJ36" s="253"/>
      <c r="BK36" s="253"/>
      <c r="BL36" s="253"/>
    </row>
    <row r="37" spans="1:64" ht="15.75" customHeight="1" x14ac:dyDescent="0.2">
      <c r="A37" s="224" t="s">
        <v>179</v>
      </c>
      <c r="B37" s="250">
        <v>0.08</v>
      </c>
      <c r="C37" s="251">
        <f t="shared" si="0"/>
        <v>150.93333333333334</v>
      </c>
      <c r="D37" s="251">
        <f t="shared" si="1"/>
        <v>155.82222222222222</v>
      </c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253"/>
      <c r="BJ37" s="253"/>
      <c r="BK37" s="253"/>
      <c r="BL37" s="253"/>
    </row>
    <row r="38" spans="1:64" ht="15.75" customHeight="1" x14ac:dyDescent="0.2">
      <c r="A38" s="246" t="s">
        <v>170</v>
      </c>
      <c r="B38" s="247">
        <f>SUM(B30:B37)</f>
        <v>0.36800000000000005</v>
      </c>
      <c r="C38" s="255">
        <f>SUM(C30:C37)</f>
        <v>694.29333333333352</v>
      </c>
      <c r="D38" s="255">
        <f>SUM(D30:D37)</f>
        <v>716.78222222222223</v>
      </c>
    </row>
    <row r="39" spans="1:64" ht="15.75" customHeight="1" x14ac:dyDescent="0.2">
      <c r="A39" s="256" t="s">
        <v>180</v>
      </c>
      <c r="B39" s="249" t="s">
        <v>181</v>
      </c>
      <c r="C39" s="257" t="s">
        <v>156</v>
      </c>
      <c r="D39" s="257" t="s">
        <v>156</v>
      </c>
    </row>
    <row r="40" spans="1:64" ht="15.75" customHeight="1" x14ac:dyDescent="0.25">
      <c r="A40" s="224" t="s">
        <v>182</v>
      </c>
      <c r="B40" s="258">
        <f>'VT, Uniforme e Plano Celular'!E21</f>
        <v>4.75</v>
      </c>
      <c r="C40" s="259">
        <f>((2*22*$B$40)-0.06*C22)</f>
        <v>107.12</v>
      </c>
      <c r="D40" s="259">
        <f>((2*22*$B$40)-0.06*D22)</f>
        <v>103.82000000000001</v>
      </c>
    </row>
    <row r="41" spans="1:64" ht="15.75" customHeight="1" x14ac:dyDescent="0.2">
      <c r="A41" s="224" t="s">
        <v>249</v>
      </c>
      <c r="B41" s="260">
        <v>21.1</v>
      </c>
      <c r="C41" s="245">
        <f>($B$41*22)</f>
        <v>464.20000000000005</v>
      </c>
      <c r="D41" s="245">
        <f>($B$41*22)</f>
        <v>464.20000000000005</v>
      </c>
    </row>
    <row r="42" spans="1:64" ht="15.75" customHeight="1" x14ac:dyDescent="0.2">
      <c r="A42" s="261" t="s">
        <v>184</v>
      </c>
      <c r="B42" s="315"/>
      <c r="C42" s="245">
        <f>B42</f>
        <v>0</v>
      </c>
      <c r="D42" s="245">
        <f>C42</f>
        <v>0</v>
      </c>
    </row>
    <row r="43" spans="1:64" ht="15.75" customHeight="1" x14ac:dyDescent="0.2">
      <c r="A43" s="224" t="s">
        <v>185</v>
      </c>
      <c r="B43" s="315"/>
      <c r="C43" s="245">
        <f>B43</f>
        <v>0</v>
      </c>
      <c r="D43" s="245">
        <f>B43</f>
        <v>0</v>
      </c>
    </row>
    <row r="44" spans="1:64" ht="15.75" customHeight="1" x14ac:dyDescent="0.2">
      <c r="A44" s="224" t="s">
        <v>186</v>
      </c>
      <c r="B44" s="315"/>
      <c r="C44" s="245">
        <f>$B$44*0.8</f>
        <v>0</v>
      </c>
      <c r="D44" s="245">
        <f>$B$44*0.8</f>
        <v>0</v>
      </c>
    </row>
    <row r="45" spans="1:64" ht="15.75" customHeight="1" x14ac:dyDescent="0.2">
      <c r="A45" s="224" t="s">
        <v>187</v>
      </c>
      <c r="B45" s="315"/>
      <c r="C45" s="245"/>
      <c r="D45" s="245"/>
    </row>
    <row r="46" spans="1:64" ht="15.75" customHeight="1" x14ac:dyDescent="0.2">
      <c r="A46" s="246" t="s">
        <v>170</v>
      </c>
      <c r="B46" s="235"/>
      <c r="C46" s="255">
        <f>SUM(C40:C45)</f>
        <v>571.32000000000005</v>
      </c>
      <c r="D46" s="255">
        <f>SUM(D40:D45)</f>
        <v>568.0200000000001</v>
      </c>
    </row>
    <row r="47" spans="1:64" ht="15.75" customHeight="1" x14ac:dyDescent="0.2">
      <c r="A47" s="263" t="s">
        <v>188</v>
      </c>
      <c r="B47" s="223" t="s">
        <v>155</v>
      </c>
      <c r="C47" s="264" t="s">
        <v>156</v>
      </c>
      <c r="D47" s="264" t="s">
        <v>156</v>
      </c>
    </row>
    <row r="48" spans="1:64" ht="15.75" customHeight="1" x14ac:dyDescent="0.2">
      <c r="A48" s="265" t="s">
        <v>189</v>
      </c>
      <c r="B48" s="266">
        <f>B28</f>
        <v>0.1111111111111111</v>
      </c>
      <c r="C48" s="243">
        <f>C28</f>
        <v>188.66666666666666</v>
      </c>
      <c r="D48" s="243">
        <f>D28</f>
        <v>194.77777777777777</v>
      </c>
    </row>
    <row r="49" spans="1:64" ht="15.75" customHeight="1" x14ac:dyDescent="0.2">
      <c r="A49" s="267" t="s">
        <v>190</v>
      </c>
      <c r="B49" s="268">
        <f>B38</f>
        <v>0.36800000000000005</v>
      </c>
      <c r="C49" s="245">
        <f>C38</f>
        <v>694.29333333333352</v>
      </c>
      <c r="D49" s="245">
        <f>D38</f>
        <v>716.78222222222223</v>
      </c>
    </row>
    <row r="50" spans="1:64" ht="15.75" customHeight="1" x14ac:dyDescent="0.2">
      <c r="A50" s="267" t="s">
        <v>191</v>
      </c>
      <c r="B50" s="269"/>
      <c r="C50" s="245">
        <f>C46</f>
        <v>571.32000000000005</v>
      </c>
      <c r="D50" s="245">
        <f>D46</f>
        <v>568.0200000000001</v>
      </c>
    </row>
    <row r="51" spans="1:64" ht="15.75" customHeight="1" x14ac:dyDescent="0.2">
      <c r="A51" s="233" t="s">
        <v>164</v>
      </c>
      <c r="B51" s="270"/>
      <c r="C51" s="235">
        <f>SUM(C48:C50)</f>
        <v>1454.2800000000002</v>
      </c>
      <c r="D51" s="235">
        <f>SUM(D48:D50)</f>
        <v>1479.58</v>
      </c>
    </row>
    <row r="52" spans="1:64" ht="15.75" customHeight="1" x14ac:dyDescent="0.2">
      <c r="A52" s="271"/>
      <c r="B52" s="238"/>
      <c r="C52" s="238"/>
      <c r="D52" s="238"/>
    </row>
    <row r="53" spans="1:64" ht="16.5" customHeight="1" x14ac:dyDescent="0.2">
      <c r="A53" s="647" t="s">
        <v>192</v>
      </c>
      <c r="B53" s="647"/>
      <c r="C53" s="647"/>
      <c r="D53" s="647"/>
    </row>
    <row r="54" spans="1:64" ht="15.75" customHeight="1" thickBot="1" x14ac:dyDescent="0.25">
      <c r="A54" s="221" t="s">
        <v>193</v>
      </c>
      <c r="B54" s="223" t="s">
        <v>167</v>
      </c>
      <c r="C54" s="272" t="s">
        <v>156</v>
      </c>
      <c r="D54" s="272" t="s">
        <v>156</v>
      </c>
    </row>
    <row r="55" spans="1:64" ht="15.75" customHeight="1" thickTop="1" x14ac:dyDescent="0.2">
      <c r="A55" s="224" t="s">
        <v>194</v>
      </c>
      <c r="B55" s="273">
        <f>1/12*0.05</f>
        <v>4.1666666666666666E-3</v>
      </c>
      <c r="C55" s="274">
        <f>$B55*$C$22</f>
        <v>7.0750000000000002</v>
      </c>
      <c r="D55" s="274">
        <f>$B55*$D$22</f>
        <v>7.3041666666666663</v>
      </c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  <c r="BI55" s="253"/>
      <c r="BJ55" s="253"/>
      <c r="BK55" s="253"/>
      <c r="BL55" s="253"/>
    </row>
    <row r="56" spans="1:64" ht="15.75" customHeight="1" x14ac:dyDescent="0.2">
      <c r="A56" s="230" t="s">
        <v>195</v>
      </c>
      <c r="B56" s="273">
        <f>B37*B55</f>
        <v>3.3333333333333332E-4</v>
      </c>
      <c r="C56" s="274">
        <f>$B56*$C$22</f>
        <v>0.56599999999999995</v>
      </c>
      <c r="D56" s="274">
        <f>$B56*$D$22</f>
        <v>0.58433333333333326</v>
      </c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</row>
    <row r="57" spans="1:64" ht="15.75" customHeight="1" x14ac:dyDescent="0.2">
      <c r="A57" s="224" t="s">
        <v>196</v>
      </c>
      <c r="B57" s="273">
        <v>0</v>
      </c>
      <c r="C57" s="274">
        <f>B57*$C$22</f>
        <v>0</v>
      </c>
      <c r="D57" s="274">
        <f>C57*$C$22</f>
        <v>0</v>
      </c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3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  <c r="BI57" s="253"/>
      <c r="BJ57" s="253"/>
      <c r="BK57" s="253"/>
      <c r="BL57" s="253"/>
    </row>
    <row r="58" spans="1:64" ht="15.75" customHeight="1" x14ac:dyDescent="0.2">
      <c r="A58" s="224" t="s">
        <v>197</v>
      </c>
      <c r="B58" s="273">
        <f>1/30*7/12</f>
        <v>1.9444444444444445E-2</v>
      </c>
      <c r="C58" s="274">
        <f>$B58*$C$22</f>
        <v>33.016666666666666</v>
      </c>
      <c r="D58" s="274">
        <f>$B58*$D$22</f>
        <v>34.086111111111109</v>
      </c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253"/>
      <c r="AT58" s="253"/>
      <c r="AU58" s="253"/>
      <c r="AV58" s="253"/>
      <c r="AW58" s="253"/>
      <c r="AX58" s="253"/>
      <c r="AY58" s="253"/>
      <c r="AZ58" s="253"/>
      <c r="BA58" s="253"/>
      <c r="BB58" s="253"/>
      <c r="BC58" s="253"/>
      <c r="BD58" s="253"/>
      <c r="BE58" s="253"/>
      <c r="BF58" s="253"/>
      <c r="BG58" s="253"/>
      <c r="BH58" s="253"/>
      <c r="BI58" s="253"/>
      <c r="BJ58" s="253"/>
      <c r="BK58" s="253"/>
      <c r="BL58" s="253"/>
    </row>
    <row r="59" spans="1:64" ht="15.75" customHeight="1" x14ac:dyDescent="0.2">
      <c r="A59" s="224" t="s">
        <v>198</v>
      </c>
      <c r="B59" s="273">
        <f>B58*B38</f>
        <v>7.1555555555555565E-3</v>
      </c>
      <c r="C59" s="274">
        <f>$B59*$C$22</f>
        <v>12.150133333333335</v>
      </c>
      <c r="D59" s="274">
        <f>$B59*$D$22</f>
        <v>12.543688888888891</v>
      </c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3"/>
      <c r="Z59" s="253"/>
      <c r="AA59" s="253"/>
      <c r="AB59" s="253"/>
      <c r="AC59" s="253"/>
      <c r="AD59" s="253"/>
      <c r="AE59" s="253"/>
      <c r="AF59" s="253"/>
      <c r="AG59" s="253"/>
      <c r="AH59" s="253"/>
      <c r="AI59" s="253"/>
      <c r="AJ59" s="253"/>
      <c r="AK59" s="253"/>
      <c r="AL59" s="253"/>
      <c r="AM59" s="253"/>
      <c r="AN59" s="253"/>
      <c r="AO59" s="253"/>
      <c r="AP59" s="253"/>
      <c r="AQ59" s="253"/>
      <c r="AR59" s="253"/>
      <c r="AS59" s="253"/>
      <c r="AT59" s="253"/>
      <c r="AU59" s="253"/>
      <c r="AV59" s="253"/>
      <c r="AW59" s="253"/>
      <c r="AX59" s="253"/>
      <c r="AY59" s="253"/>
      <c r="AZ59" s="253"/>
      <c r="BA59" s="253"/>
      <c r="BB59" s="253"/>
      <c r="BC59" s="253"/>
      <c r="BD59" s="253"/>
      <c r="BE59" s="253"/>
      <c r="BF59" s="253"/>
      <c r="BG59" s="253"/>
      <c r="BH59" s="253"/>
      <c r="BI59" s="253"/>
      <c r="BJ59" s="253"/>
      <c r="BK59" s="253"/>
      <c r="BL59" s="253"/>
    </row>
    <row r="60" spans="1:64" ht="15.75" customHeight="1" x14ac:dyDescent="0.2">
      <c r="A60" s="224" t="s">
        <v>199</v>
      </c>
      <c r="B60" s="276">
        <f>B37*0.4*0.9*(1+1/12+1/12+1/3*1/12)</f>
        <v>3.4399999999999993E-2</v>
      </c>
      <c r="C60" s="274">
        <f>$B60*$C$22</f>
        <v>58.411199999999987</v>
      </c>
      <c r="D60" s="274">
        <f>$B60*$D$22</f>
        <v>60.30319999999999</v>
      </c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253"/>
      <c r="BC60" s="253"/>
      <c r="BD60" s="253"/>
      <c r="BE60" s="253"/>
      <c r="BF60" s="253"/>
      <c r="BG60" s="253"/>
      <c r="BH60" s="253"/>
      <c r="BI60" s="253"/>
      <c r="BJ60" s="253"/>
      <c r="BK60" s="253"/>
      <c r="BL60" s="253"/>
    </row>
    <row r="61" spans="1:64" ht="15.75" customHeight="1" x14ac:dyDescent="0.2">
      <c r="A61" s="246" t="s">
        <v>164</v>
      </c>
      <c r="B61" s="277">
        <f>SUM(B55:B60)</f>
        <v>6.5500000000000003E-2</v>
      </c>
      <c r="C61" s="235">
        <f>SUM(C55:C60)</f>
        <v>111.21899999999999</v>
      </c>
      <c r="D61" s="235">
        <f>SUM(D55:D60)</f>
        <v>114.82149999999999</v>
      </c>
    </row>
    <row r="62" spans="1:64" ht="15.75" customHeight="1" x14ac:dyDescent="0.2">
      <c r="A62" s="271"/>
      <c r="B62" s="238"/>
      <c r="C62" s="238"/>
      <c r="D62" s="238"/>
    </row>
    <row r="63" spans="1:64" ht="16.149999999999999" customHeight="1" x14ac:dyDescent="0.2">
      <c r="A63" s="647" t="s">
        <v>200</v>
      </c>
      <c r="B63" s="647"/>
      <c r="C63" s="647"/>
      <c r="D63" s="647"/>
    </row>
    <row r="64" spans="1:64" ht="15.75" customHeight="1" x14ac:dyDescent="0.2">
      <c r="A64" s="278" t="s">
        <v>201</v>
      </c>
      <c r="B64" s="240" t="s">
        <v>167</v>
      </c>
      <c r="C64" s="279" t="s">
        <v>156</v>
      </c>
      <c r="D64" s="279" t="s">
        <v>156</v>
      </c>
    </row>
    <row r="65" spans="1:64" ht="15.95" customHeight="1" x14ac:dyDescent="0.2">
      <c r="A65" s="224" t="s">
        <v>202</v>
      </c>
      <c r="B65" s="244">
        <f>1/12</f>
        <v>8.3333333333333329E-2</v>
      </c>
      <c r="C65" s="251">
        <f t="shared" ref="C65:D68" si="2">(C$22+(C$51-C$40-C$41)+C$61)*$B65</f>
        <v>224.34825000000001</v>
      </c>
      <c r="D65" s="251">
        <f t="shared" si="2"/>
        <v>231.61512499999998</v>
      </c>
      <c r="E65" s="252"/>
      <c r="F65" s="252"/>
      <c r="G65" s="252"/>
      <c r="H65" s="252"/>
      <c r="I65" s="252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  <c r="BI65" s="253"/>
      <c r="BJ65" s="253"/>
      <c r="BK65" s="253"/>
      <c r="BL65" s="253"/>
    </row>
    <row r="66" spans="1:64" ht="15.75" customHeight="1" x14ac:dyDescent="0.2">
      <c r="A66" s="224" t="s">
        <v>203</v>
      </c>
      <c r="B66" s="244">
        <f>4.8616/30/12</f>
        <v>1.3504444444444444E-2</v>
      </c>
      <c r="C66" s="251">
        <f t="shared" si="2"/>
        <v>36.356381739999996</v>
      </c>
      <c r="D66" s="251">
        <f t="shared" si="2"/>
        <v>37.534003056666663</v>
      </c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3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253"/>
      <c r="AL66" s="253"/>
      <c r="AM66" s="253"/>
      <c r="AN66" s="253"/>
      <c r="AO66" s="253"/>
      <c r="AP66" s="253"/>
      <c r="AQ66" s="253"/>
      <c r="AR66" s="253"/>
      <c r="AS66" s="253"/>
      <c r="AT66" s="253"/>
      <c r="AU66" s="253"/>
      <c r="AV66" s="253"/>
      <c r="AW66" s="253"/>
      <c r="AX66" s="253"/>
      <c r="AY66" s="253"/>
      <c r="AZ66" s="253"/>
      <c r="BA66" s="253"/>
      <c r="BB66" s="253"/>
      <c r="BC66" s="253"/>
      <c r="BD66" s="253"/>
      <c r="BE66" s="253"/>
      <c r="BF66" s="253"/>
      <c r="BG66" s="253"/>
      <c r="BH66" s="253"/>
      <c r="BI66" s="253"/>
      <c r="BJ66" s="253"/>
      <c r="BK66" s="253"/>
      <c r="BL66" s="253"/>
    </row>
    <row r="67" spans="1:64" ht="15.75" customHeight="1" x14ac:dyDescent="0.2">
      <c r="A67" s="224" t="s">
        <v>204</v>
      </c>
      <c r="B67" s="244">
        <f>5/30/12*0.015*0.8988</f>
        <v>1.8725E-4</v>
      </c>
      <c r="C67" s="251">
        <f t="shared" si="2"/>
        <v>0.50411051775000004</v>
      </c>
      <c r="D67" s="251">
        <f t="shared" si="2"/>
        <v>0.52043918587499993</v>
      </c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52"/>
      <c r="S67" s="252"/>
      <c r="T67" s="252"/>
      <c r="U67" s="252"/>
      <c r="V67" s="252"/>
      <c r="W67" s="252"/>
      <c r="X67" s="252"/>
      <c r="Y67" s="253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3"/>
      <c r="AO67" s="253"/>
      <c r="AP67" s="253"/>
      <c r="AQ67" s="253"/>
      <c r="AR67" s="253"/>
      <c r="AS67" s="253"/>
      <c r="AT67" s="253"/>
      <c r="AU67" s="253"/>
      <c r="AV67" s="253"/>
      <c r="AW67" s="253"/>
      <c r="AX67" s="253"/>
      <c r="AY67" s="253"/>
      <c r="AZ67" s="253"/>
      <c r="BA67" s="253"/>
      <c r="BB67" s="253"/>
      <c r="BC67" s="253"/>
      <c r="BD67" s="253"/>
      <c r="BE67" s="253"/>
      <c r="BF67" s="253"/>
      <c r="BG67" s="253"/>
      <c r="BH67" s="253"/>
      <c r="BI67" s="253"/>
      <c r="BJ67" s="253"/>
      <c r="BK67" s="253"/>
      <c r="BL67" s="253"/>
    </row>
    <row r="68" spans="1:64" ht="15.75" customHeight="1" x14ac:dyDescent="0.2">
      <c r="A68" s="224" t="s">
        <v>205</v>
      </c>
      <c r="B68" s="244">
        <f>0.9659/30/12</f>
        <v>2.6830555555555553E-3</v>
      </c>
      <c r="C68" s="251">
        <f t="shared" si="2"/>
        <v>7.2232658224999993</v>
      </c>
      <c r="D68" s="251">
        <f t="shared" si="2"/>
        <v>7.4572349745833328</v>
      </c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3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3"/>
      <c r="BC68" s="253"/>
      <c r="BD68" s="253"/>
      <c r="BE68" s="253"/>
      <c r="BF68" s="253"/>
      <c r="BG68" s="253"/>
      <c r="BH68" s="253"/>
      <c r="BI68" s="253"/>
      <c r="BJ68" s="253"/>
      <c r="BK68" s="253"/>
      <c r="BL68" s="253"/>
    </row>
    <row r="69" spans="1:64" ht="15.75" customHeight="1" x14ac:dyDescent="0.2">
      <c r="A69" s="224" t="s">
        <v>163</v>
      </c>
      <c r="B69" s="244">
        <v>0</v>
      </c>
      <c r="C69" s="251">
        <f>(C$22+(C$52-C$41-C$42)+C$62)*$B69</f>
        <v>0</v>
      </c>
      <c r="D69" s="251">
        <f>(D$22+(D$52-D$41-D$42)+D$62)*$B69</f>
        <v>0</v>
      </c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3"/>
      <c r="Z69" s="253"/>
      <c r="AA69" s="253"/>
      <c r="AB69" s="253"/>
      <c r="AC69" s="253"/>
      <c r="AD69" s="253"/>
      <c r="AE69" s="253"/>
      <c r="AF69" s="253"/>
      <c r="AG69" s="253"/>
      <c r="AH69" s="253"/>
      <c r="AI69" s="253"/>
      <c r="AJ69" s="253"/>
      <c r="AK69" s="253"/>
      <c r="AL69" s="253"/>
      <c r="AM69" s="253"/>
      <c r="AN69" s="253"/>
      <c r="AO69" s="253"/>
      <c r="AP69" s="253"/>
      <c r="AQ69" s="253"/>
      <c r="AR69" s="253"/>
      <c r="AS69" s="253"/>
      <c r="AT69" s="253"/>
      <c r="AU69" s="253"/>
      <c r="AV69" s="253"/>
      <c r="AW69" s="253"/>
      <c r="AX69" s="253"/>
      <c r="AY69" s="253"/>
      <c r="AZ69" s="253"/>
      <c r="BA69" s="253"/>
      <c r="BB69" s="253"/>
      <c r="BC69" s="253"/>
      <c r="BD69" s="253"/>
      <c r="BE69" s="253"/>
      <c r="BF69" s="253"/>
      <c r="BG69" s="253"/>
      <c r="BH69" s="253"/>
      <c r="BI69" s="253"/>
      <c r="BJ69" s="253"/>
      <c r="BK69" s="253"/>
      <c r="BL69" s="253"/>
    </row>
    <row r="70" spans="1:64" ht="15.75" customHeight="1" x14ac:dyDescent="0.2">
      <c r="A70" s="246" t="s">
        <v>170</v>
      </c>
      <c r="B70" s="247">
        <f>SUM(B65:B69)</f>
        <v>9.9708083333333322E-2</v>
      </c>
      <c r="C70" s="255">
        <f>SUM(C65:C69)</f>
        <v>268.43200808025006</v>
      </c>
      <c r="D70" s="255">
        <f>SUM(D65:D69)</f>
        <v>277.12680221712498</v>
      </c>
    </row>
    <row r="71" spans="1:64" ht="15.75" customHeight="1" x14ac:dyDescent="0.2">
      <c r="A71" s="278" t="s">
        <v>206</v>
      </c>
      <c r="B71" s="316"/>
      <c r="C71" s="279" t="s">
        <v>156</v>
      </c>
      <c r="D71" s="279" t="s">
        <v>156</v>
      </c>
    </row>
    <row r="72" spans="1:64" ht="15.75" customHeight="1" x14ac:dyDescent="0.2">
      <c r="A72" s="230" t="s">
        <v>207</v>
      </c>
      <c r="B72" s="281">
        <v>0</v>
      </c>
      <c r="C72" s="282"/>
      <c r="D72" s="282"/>
      <c r="E72" s="252"/>
      <c r="F72" s="252"/>
      <c r="G72" s="252"/>
      <c r="H72" s="252"/>
      <c r="I72" s="252"/>
      <c r="J72" s="252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3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  <c r="BI72" s="253"/>
      <c r="BJ72" s="253"/>
      <c r="BK72" s="253"/>
      <c r="BL72" s="253"/>
    </row>
    <row r="73" spans="1:64" ht="15.75" customHeight="1" x14ac:dyDescent="0.2">
      <c r="A73" s="246" t="s">
        <v>170</v>
      </c>
      <c r="B73" s="247">
        <v>0</v>
      </c>
      <c r="C73" s="255"/>
      <c r="D73" s="255"/>
    </row>
    <row r="74" spans="1:64" ht="15.75" customHeight="1" x14ac:dyDescent="0.2">
      <c r="A74" s="278" t="s">
        <v>208</v>
      </c>
      <c r="B74" s="316"/>
      <c r="C74" s="279" t="s">
        <v>156</v>
      </c>
      <c r="D74" s="279" t="s">
        <v>156</v>
      </c>
    </row>
    <row r="75" spans="1:64" ht="15.75" customHeight="1" x14ac:dyDescent="0.2">
      <c r="A75" s="224" t="s">
        <v>209</v>
      </c>
      <c r="B75" s="254">
        <f>(120/30)*0.1012*0.0032</f>
        <v>1.29536E-3</v>
      </c>
      <c r="C75" s="251">
        <f>(C$22+C$51+C$61)*$B75</f>
        <v>4.2274060646400002</v>
      </c>
      <c r="D75" s="251">
        <f>(D$22+D$51+D$61)*$B75</f>
        <v>4.3360900070400001</v>
      </c>
    </row>
    <row r="76" spans="1:64" ht="15.75" customHeight="1" x14ac:dyDescent="0.2">
      <c r="A76" s="246" t="s">
        <v>164</v>
      </c>
      <c r="B76" s="247">
        <f>B75</f>
        <v>1.29536E-3</v>
      </c>
      <c r="C76" s="255">
        <f>C75</f>
        <v>4.2274060646400002</v>
      </c>
      <c r="D76" s="255">
        <f>D75</f>
        <v>4.3360900070400001</v>
      </c>
    </row>
    <row r="77" spans="1:64" ht="15.75" customHeight="1" x14ac:dyDescent="0.2">
      <c r="A77" s="278" t="s">
        <v>210</v>
      </c>
      <c r="B77" s="316"/>
      <c r="C77" s="279" t="s">
        <v>156</v>
      </c>
      <c r="D77" s="279" t="s">
        <v>156</v>
      </c>
    </row>
    <row r="78" spans="1:64" ht="15.75" customHeight="1" x14ac:dyDescent="0.2">
      <c r="A78" s="224" t="s">
        <v>211</v>
      </c>
      <c r="B78" s="254">
        <v>0</v>
      </c>
      <c r="C78" s="251"/>
      <c r="D78" s="251"/>
    </row>
    <row r="79" spans="1:64" ht="15.75" customHeight="1" x14ac:dyDescent="0.2">
      <c r="A79" s="246" t="s">
        <v>164</v>
      </c>
      <c r="B79" s="247">
        <f>B78</f>
        <v>0</v>
      </c>
      <c r="C79" s="255">
        <f>C78</f>
        <v>0</v>
      </c>
      <c r="D79" s="255">
        <f>D78</f>
        <v>0</v>
      </c>
    </row>
    <row r="80" spans="1:64" ht="15.75" customHeight="1" x14ac:dyDescent="0.2">
      <c r="A80" s="283" t="s">
        <v>212</v>
      </c>
      <c r="B80" s="223" t="s">
        <v>155</v>
      </c>
      <c r="C80" s="284" t="s">
        <v>156</v>
      </c>
      <c r="D80" s="284" t="s">
        <v>156</v>
      </c>
    </row>
    <row r="81" spans="1:64" ht="15.75" customHeight="1" x14ac:dyDescent="0.2">
      <c r="A81" s="285" t="s">
        <v>213</v>
      </c>
      <c r="B81" s="286">
        <f>B70</f>
        <v>9.9708083333333322E-2</v>
      </c>
      <c r="C81" s="243">
        <f>C70</f>
        <v>268.43200808025006</v>
      </c>
      <c r="D81" s="243">
        <f>D70</f>
        <v>277.12680221712498</v>
      </c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  <c r="Q81" s="252"/>
      <c r="R81" s="252"/>
      <c r="S81" s="252"/>
      <c r="T81" s="252"/>
      <c r="U81" s="252"/>
      <c r="V81" s="252"/>
      <c r="W81" s="252"/>
      <c r="X81" s="252"/>
      <c r="Y81" s="253"/>
      <c r="Z81" s="253"/>
      <c r="AA81" s="253"/>
      <c r="AB81" s="253"/>
      <c r="AC81" s="253"/>
      <c r="AD81" s="253"/>
      <c r="AE81" s="253"/>
      <c r="AF81" s="253"/>
      <c r="AG81" s="253"/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  <c r="BI81" s="253"/>
      <c r="BJ81" s="253"/>
      <c r="BK81" s="253"/>
      <c r="BL81" s="253"/>
    </row>
    <row r="82" spans="1:64" ht="15.75" customHeight="1" x14ac:dyDescent="0.2">
      <c r="A82" s="287" t="s">
        <v>214</v>
      </c>
      <c r="B82" s="286">
        <f>B73</f>
        <v>0</v>
      </c>
      <c r="C82" s="245">
        <f>C73</f>
        <v>0</v>
      </c>
      <c r="D82" s="245">
        <f>D73</f>
        <v>0</v>
      </c>
      <c r="E82" s="252"/>
      <c r="F82" s="252"/>
      <c r="G82" s="252"/>
      <c r="H82" s="252"/>
      <c r="I82" s="252"/>
      <c r="J82" s="252"/>
      <c r="K82" s="252"/>
      <c r="L82" s="252"/>
      <c r="M82" s="252"/>
      <c r="N82" s="252"/>
      <c r="O82" s="252"/>
      <c r="P82" s="252"/>
      <c r="Q82" s="252"/>
      <c r="R82" s="252"/>
      <c r="S82" s="252"/>
      <c r="T82" s="252"/>
      <c r="U82" s="252"/>
      <c r="V82" s="252"/>
      <c r="W82" s="252"/>
      <c r="X82" s="252"/>
      <c r="Y82" s="253"/>
      <c r="Z82" s="253"/>
      <c r="AA82" s="253"/>
      <c r="AB82" s="253"/>
      <c r="AC82" s="253"/>
      <c r="AD82" s="253"/>
      <c r="AE82" s="253"/>
      <c r="AF82" s="253"/>
      <c r="AG82" s="253"/>
      <c r="AH82" s="253"/>
      <c r="AI82" s="253"/>
      <c r="AJ82" s="253"/>
      <c r="AK82" s="253"/>
      <c r="AL82" s="253"/>
      <c r="AM82" s="253"/>
      <c r="AN82" s="253"/>
      <c r="AO82" s="253"/>
      <c r="AP82" s="253"/>
      <c r="AQ82" s="253"/>
      <c r="AR82" s="253"/>
      <c r="AS82" s="253"/>
      <c r="AT82" s="253"/>
      <c r="AU82" s="253"/>
      <c r="AV82" s="253"/>
      <c r="AW82" s="253"/>
      <c r="AX82" s="253"/>
      <c r="AY82" s="253"/>
      <c r="AZ82" s="253"/>
      <c r="BA82" s="253"/>
      <c r="BB82" s="253"/>
      <c r="BC82" s="253"/>
      <c r="BD82" s="253"/>
      <c r="BE82" s="253"/>
      <c r="BF82" s="253"/>
      <c r="BG82" s="253"/>
      <c r="BH82" s="253"/>
      <c r="BI82" s="253"/>
      <c r="BJ82" s="253"/>
      <c r="BK82" s="253"/>
      <c r="BL82" s="253"/>
    </row>
    <row r="83" spans="1:64" ht="15.75" customHeight="1" x14ac:dyDescent="0.2">
      <c r="A83" s="287" t="s">
        <v>215</v>
      </c>
      <c r="B83" s="286">
        <f>B76</f>
        <v>1.29536E-3</v>
      </c>
      <c r="C83" s="245">
        <f>C76</f>
        <v>4.2274060646400002</v>
      </c>
      <c r="D83" s="245">
        <f>D76</f>
        <v>4.3360900070400001</v>
      </c>
      <c r="E83" s="252"/>
      <c r="F83" s="252"/>
      <c r="G83" s="252"/>
      <c r="H83" s="252"/>
      <c r="I83" s="252"/>
      <c r="J83" s="252"/>
      <c r="K83" s="252"/>
      <c r="L83" s="252"/>
      <c r="M83" s="252"/>
      <c r="N83" s="252"/>
      <c r="O83" s="252"/>
      <c r="P83" s="252"/>
      <c r="Q83" s="252"/>
      <c r="R83" s="252"/>
      <c r="S83" s="252"/>
      <c r="T83" s="252"/>
      <c r="U83" s="252"/>
      <c r="V83" s="252"/>
      <c r="W83" s="252"/>
      <c r="X83" s="252"/>
      <c r="Y83" s="253"/>
      <c r="Z83" s="253"/>
      <c r="AA83" s="253"/>
      <c r="AB83" s="253"/>
      <c r="AC83" s="253"/>
      <c r="AD83" s="253"/>
      <c r="AE83" s="253"/>
      <c r="AF83" s="253"/>
      <c r="AG83" s="253"/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  <c r="BI83" s="253"/>
      <c r="BJ83" s="253"/>
      <c r="BK83" s="253"/>
      <c r="BL83" s="253"/>
    </row>
    <row r="84" spans="1:64" ht="15.75" customHeight="1" x14ac:dyDescent="0.2">
      <c r="A84" s="287" t="s">
        <v>216</v>
      </c>
      <c r="B84" s="286">
        <f>B79</f>
        <v>0</v>
      </c>
      <c r="C84" s="245">
        <f>C79</f>
        <v>0</v>
      </c>
      <c r="D84" s="245">
        <f>D79</f>
        <v>0</v>
      </c>
      <c r="E84" s="252"/>
      <c r="F84" s="252"/>
      <c r="G84" s="252"/>
      <c r="H84" s="252"/>
      <c r="I84" s="252"/>
      <c r="J84" s="252"/>
      <c r="K84" s="252"/>
      <c r="L84" s="252"/>
      <c r="M84" s="252"/>
      <c r="N84" s="252"/>
      <c r="O84" s="252"/>
      <c r="P84" s="252"/>
      <c r="Q84" s="252"/>
      <c r="R84" s="252"/>
      <c r="S84" s="252"/>
      <c r="T84" s="252"/>
      <c r="U84" s="252"/>
      <c r="V84" s="252"/>
      <c r="W84" s="252"/>
      <c r="X84" s="252"/>
      <c r="Y84" s="253"/>
      <c r="Z84" s="253"/>
      <c r="AA84" s="253"/>
      <c r="AB84" s="253"/>
      <c r="AC84" s="253"/>
      <c r="AD84" s="253"/>
      <c r="AE84" s="253"/>
      <c r="AF84" s="253"/>
      <c r="AG84" s="253"/>
      <c r="AH84" s="253"/>
      <c r="AI84" s="253"/>
      <c r="AJ84" s="253"/>
      <c r="AK84" s="253"/>
      <c r="AL84" s="253"/>
      <c r="AM84" s="253"/>
      <c r="AN84" s="253"/>
      <c r="AO84" s="253"/>
      <c r="AP84" s="253"/>
      <c r="AQ84" s="253"/>
      <c r="AR84" s="253"/>
      <c r="AS84" s="253"/>
      <c r="AT84" s="253"/>
      <c r="AU84" s="253"/>
      <c r="AV84" s="253"/>
      <c r="AW84" s="253"/>
      <c r="AX84" s="253"/>
      <c r="AY84" s="253"/>
      <c r="AZ84" s="253"/>
      <c r="BA84" s="253"/>
      <c r="BB84" s="253"/>
      <c r="BC84" s="253"/>
      <c r="BD84" s="253"/>
      <c r="BE84" s="253"/>
      <c r="BF84" s="253"/>
      <c r="BG84" s="253"/>
      <c r="BH84" s="253"/>
      <c r="BI84" s="253"/>
      <c r="BJ84" s="253"/>
      <c r="BK84" s="253"/>
      <c r="BL84" s="253"/>
    </row>
    <row r="85" spans="1:64" ht="15.75" customHeight="1" x14ac:dyDescent="0.2">
      <c r="A85" s="233" t="s">
        <v>164</v>
      </c>
      <c r="B85" s="277"/>
      <c r="C85" s="235">
        <f>SUM(C81:C84)</f>
        <v>272.65941414489004</v>
      </c>
      <c r="D85" s="235">
        <f>SUM(D81:D84)</f>
        <v>281.46289222416499</v>
      </c>
    </row>
    <row r="86" spans="1:64" ht="15.75" customHeight="1" x14ac:dyDescent="0.2">
      <c r="A86" s="271"/>
      <c r="B86" s="288"/>
      <c r="C86" s="238"/>
      <c r="D86" s="238"/>
    </row>
    <row r="87" spans="1:64" ht="16.5" customHeight="1" x14ac:dyDescent="0.2">
      <c r="A87" s="647" t="s">
        <v>217</v>
      </c>
      <c r="B87" s="647"/>
      <c r="C87" s="647"/>
      <c r="D87" s="647"/>
    </row>
    <row r="88" spans="1:64" ht="15.75" customHeight="1" x14ac:dyDescent="0.2">
      <c r="A88" s="289" t="s">
        <v>218</v>
      </c>
      <c r="B88" s="223" t="s">
        <v>181</v>
      </c>
      <c r="C88" s="284" t="s">
        <v>156</v>
      </c>
      <c r="D88" s="284" t="s">
        <v>156</v>
      </c>
    </row>
    <row r="89" spans="1:64" ht="15.75" customHeight="1" x14ac:dyDescent="0.25">
      <c r="A89" s="285" t="s">
        <v>219</v>
      </c>
      <c r="B89" s="290">
        <f>'VT, Uniforme e Plano Celular'!E44</f>
        <v>34.229999999999997</v>
      </c>
      <c r="C89" s="259">
        <f t="shared" ref="C89:D92" si="3">$B89</f>
        <v>34.229999999999997</v>
      </c>
      <c r="D89" s="259">
        <f t="shared" si="3"/>
        <v>34.229999999999997</v>
      </c>
    </row>
    <row r="90" spans="1:64" ht="15.75" customHeight="1" x14ac:dyDescent="0.25">
      <c r="A90" s="287" t="s">
        <v>220</v>
      </c>
      <c r="B90" s="291"/>
      <c r="C90" s="292">
        <f t="shared" si="3"/>
        <v>0</v>
      </c>
      <c r="D90" s="292">
        <f t="shared" si="3"/>
        <v>0</v>
      </c>
    </row>
    <row r="91" spans="1:64" ht="15.75" customHeight="1" x14ac:dyDescent="0.25">
      <c r="A91" s="287" t="s">
        <v>221</v>
      </c>
      <c r="B91" s="291"/>
      <c r="C91" s="292">
        <f t="shared" si="3"/>
        <v>0</v>
      </c>
      <c r="D91" s="292">
        <f t="shared" si="3"/>
        <v>0</v>
      </c>
    </row>
    <row r="92" spans="1:64" ht="15.75" customHeight="1" x14ac:dyDescent="0.25">
      <c r="A92" s="287" t="s">
        <v>222</v>
      </c>
      <c r="B92" s="291"/>
      <c r="C92" s="292">
        <f t="shared" si="3"/>
        <v>0</v>
      </c>
      <c r="D92" s="292">
        <f t="shared" si="3"/>
        <v>0</v>
      </c>
    </row>
    <row r="93" spans="1:64" ht="15.75" customHeight="1" x14ac:dyDescent="0.25">
      <c r="A93" s="293" t="s">
        <v>223</v>
      </c>
      <c r="B93" s="294">
        <f>'VT, Uniforme e Plano Celular'!D56</f>
        <v>58.62</v>
      </c>
      <c r="C93" s="292">
        <f>B93</f>
        <v>58.62</v>
      </c>
      <c r="D93" s="292">
        <f>B93</f>
        <v>58.62</v>
      </c>
    </row>
    <row r="94" spans="1:64" ht="15.75" customHeight="1" x14ac:dyDescent="0.2">
      <c r="A94" s="295" t="s">
        <v>164</v>
      </c>
      <c r="B94" s="296"/>
      <c r="C94" s="235">
        <f>SUM(C89:C93)</f>
        <v>92.85</v>
      </c>
      <c r="D94" s="235">
        <f>SUM(D89:D93)</f>
        <v>92.85</v>
      </c>
    </row>
    <row r="95" spans="1:64" ht="15.75" customHeight="1" x14ac:dyDescent="0.2">
      <c r="A95" s="271"/>
      <c r="B95" s="288"/>
      <c r="C95" s="238"/>
      <c r="D95" s="238"/>
    </row>
    <row r="96" spans="1:64" ht="16.5" customHeight="1" x14ac:dyDescent="0.2">
      <c r="A96" s="647" t="s">
        <v>224</v>
      </c>
      <c r="B96" s="647"/>
      <c r="C96" s="647"/>
      <c r="D96" s="647"/>
    </row>
    <row r="97" spans="1:4" ht="15.75" customHeight="1" thickBot="1" x14ac:dyDescent="0.25">
      <c r="A97" s="221" t="s">
        <v>225</v>
      </c>
      <c r="B97" s="223" t="s">
        <v>167</v>
      </c>
      <c r="C97" s="284" t="s">
        <v>156</v>
      </c>
      <c r="D97" s="284" t="s">
        <v>156</v>
      </c>
    </row>
    <row r="98" spans="1:4" ht="15.75" customHeight="1" thickTop="1" x14ac:dyDescent="0.2">
      <c r="A98" s="224" t="s">
        <v>226</v>
      </c>
      <c r="B98" s="317">
        <v>0.05</v>
      </c>
      <c r="C98" s="298">
        <f>(C$22+C$51+C$61+C$85+C$94)*$B98</f>
        <v>181.45042070724452</v>
      </c>
      <c r="D98" s="298">
        <f>(D$22+D$51+D$61+D$85+D$94)*$B98</f>
        <v>186.08571961120825</v>
      </c>
    </row>
    <row r="99" spans="1:4" ht="15.75" customHeight="1" x14ac:dyDescent="0.2">
      <c r="A99" s="224" t="s">
        <v>227</v>
      </c>
      <c r="B99" s="317">
        <v>0.1</v>
      </c>
      <c r="C99" s="299">
        <f>(C$22+C$51+C$61+C$85+C$94+C$98)*$B99</f>
        <v>381.04588348521349</v>
      </c>
      <c r="D99" s="299">
        <f>(D$22+D$51+D$61+D$85+D$94+D$98)*$B99</f>
        <v>390.78001118353734</v>
      </c>
    </row>
    <row r="100" spans="1:4" ht="15.75" customHeight="1" x14ac:dyDescent="0.2">
      <c r="A100" s="300" t="s">
        <v>250</v>
      </c>
      <c r="B100" s="301">
        <f>B101+B102</f>
        <v>5.6499999999999995E-2</v>
      </c>
      <c r="C100" s="302">
        <f>((C$22+C$51+C$61+C$85+C$94+C$98+C$99)/(1-($B100)))*$B100</f>
        <v>251.0016074044093</v>
      </c>
      <c r="D100" s="302">
        <f>((D$22+D$51+D$61+D$85+D$94+D$98+D$99)/(1-($B100)))*$B100</f>
        <v>257.41364806631526</v>
      </c>
    </row>
    <row r="101" spans="1:4" ht="15.75" customHeight="1" x14ac:dyDescent="0.2">
      <c r="A101" s="303" t="s">
        <v>229</v>
      </c>
      <c r="B101" s="297">
        <v>3.6499999999999998E-2</v>
      </c>
      <c r="C101" s="299">
        <f>((C$22+C$51+C$61+C$85+C$94+C$98+C$99)/(1-($B$100)))*$B101</f>
        <v>162.15148088957415</v>
      </c>
      <c r="D101" s="299">
        <f>((D$22+D$51+D$61+D$85+D$94+D$98+D$99)/(1-($B$100)))*$B101</f>
        <v>166.29377264461075</v>
      </c>
    </row>
    <row r="102" spans="1:4" ht="15.75" customHeight="1" x14ac:dyDescent="0.2">
      <c r="A102" s="303" t="s">
        <v>230</v>
      </c>
      <c r="B102" s="275">
        <v>0.02</v>
      </c>
      <c r="C102" s="299">
        <f>((C$22+C$51+C$61+C$85+C$94+C$98+C$99)/(1-($B$100)))*$B102</f>
        <v>88.850126514835154</v>
      </c>
      <c r="D102" s="299">
        <f>((D$22+D$51+D$61+D$85+D$94+D$98+D$99)/(1-($B$100)))*$B102</f>
        <v>91.119875421704535</v>
      </c>
    </row>
    <row r="103" spans="1:4" ht="15.75" customHeight="1" x14ac:dyDescent="0.2">
      <c r="A103" s="300" t="s">
        <v>228</v>
      </c>
      <c r="B103" s="301">
        <f>B104+B105</f>
        <v>6.6500000000000004E-2</v>
      </c>
      <c r="C103" s="302">
        <f>((C$22+C$51+C$61+C$85+C$94+C$98+C$99)/(1-($B103)))*$B103</f>
        <v>298.59139129023424</v>
      </c>
      <c r="D103" s="302">
        <f>((D$22+D$51+D$61+D$85+D$94+D$98+D$99)/(1-($B103)))*$B103</f>
        <v>306.21915177370926</v>
      </c>
    </row>
    <row r="104" spans="1:4" ht="15.75" customHeight="1" x14ac:dyDescent="0.2">
      <c r="A104" s="303" t="s">
        <v>229</v>
      </c>
      <c r="B104" s="275">
        <f>B$101</f>
        <v>3.6499999999999998E-2</v>
      </c>
      <c r="C104" s="299">
        <f>((C$22+C$51+C$61+C$85+C$94+C$98+C$99)/(1-($B$103)))*$B104</f>
        <v>163.88850800140673</v>
      </c>
      <c r="D104" s="299">
        <f>((D$22+D$51+D$61+D$85+D$94+D$98+D$99)/(1-($B$103)))*$B104</f>
        <v>168.07517352993062</v>
      </c>
    </row>
    <row r="105" spans="1:4" ht="15.75" customHeight="1" x14ac:dyDescent="0.2">
      <c r="A105" s="303" t="s">
        <v>230</v>
      </c>
      <c r="B105" s="275">
        <v>0.03</v>
      </c>
      <c r="C105" s="299">
        <f>((C$22+C$51+C$61+C$85+C$94+C$98+C$99)/(1-($B$103)))*$B105</f>
        <v>134.70288328882748</v>
      </c>
      <c r="D105" s="299">
        <f>((D$22+D$51+D$61+D$85+D$94+D$98+D$99)/(1-($B$103)))*$B105</f>
        <v>138.14397824377861</v>
      </c>
    </row>
    <row r="106" spans="1:4" ht="15.75" customHeight="1" x14ac:dyDescent="0.2">
      <c r="A106" s="300" t="s">
        <v>460</v>
      </c>
      <c r="B106" s="301">
        <f>B107+B108</f>
        <v>7.6499999999999999E-2</v>
      </c>
      <c r="C106" s="302">
        <f>((C$22+C$51+C$61+C$85+C$94+C$98+C$99)/(1-($B106)))*$B106</f>
        <v>347.21181478376519</v>
      </c>
      <c r="D106" s="302">
        <f>((D$22+D$51+D$61+D$85+D$94+D$98+D$99)/(1-($B106)))*$B106</f>
        <v>356.08162361770076</v>
      </c>
    </row>
    <row r="107" spans="1:4" ht="15.75" customHeight="1" x14ac:dyDescent="0.2">
      <c r="A107" s="303" t="s">
        <v>229</v>
      </c>
      <c r="B107" s="275">
        <f>B$101</f>
        <v>3.6499999999999998E-2</v>
      </c>
      <c r="C107" s="299">
        <f>((C$22+C$51+C$61+C$85+C$94+C$98+C$99)/(1-($B$106)))*$B107</f>
        <v>165.66315345892065</v>
      </c>
      <c r="D107" s="299">
        <f>((D$22+D$51+D$61+D$85+D$94+D$98+D$99)/(1-($B$106)))*$B107</f>
        <v>169.8951537522363</v>
      </c>
    </row>
    <row r="108" spans="1:4" ht="15.75" customHeight="1" x14ac:dyDescent="0.2">
      <c r="A108" s="303" t="s">
        <v>230</v>
      </c>
      <c r="B108" s="275">
        <v>0.04</v>
      </c>
      <c r="C108" s="299">
        <f>((C$22+C$51+C$61+C$85+C$94+C$98+C$99)/(1-($B$106)))*$B108</f>
        <v>181.54866132484455</v>
      </c>
      <c r="D108" s="299">
        <f>((D$22+D$51+D$61+D$85+D$94+D$98+D$99)/(1-($B$106)))*$B108</f>
        <v>186.18646986546446</v>
      </c>
    </row>
    <row r="109" spans="1:4" ht="15.75" customHeight="1" x14ac:dyDescent="0.2">
      <c r="A109" s="657" t="s">
        <v>232</v>
      </c>
      <c r="B109" s="304">
        <f>B102</f>
        <v>0.02</v>
      </c>
      <c r="C109" s="235">
        <f>SUM(C98:C100)</f>
        <v>813.4979115968672</v>
      </c>
      <c r="D109" s="235">
        <f>SUM(D98:D100)</f>
        <v>834.27937886106088</v>
      </c>
    </row>
    <row r="110" spans="1:4" ht="15.75" customHeight="1" x14ac:dyDescent="0.2">
      <c r="A110" s="657"/>
      <c r="B110" s="304">
        <f>B105</f>
        <v>0.03</v>
      </c>
      <c r="C110" s="235">
        <f>SUM(C98,C99,C103)</f>
        <v>861.0876954826922</v>
      </c>
      <c r="D110" s="235">
        <f>SUM(D98,D99,D103)</f>
        <v>883.08488256845476</v>
      </c>
    </row>
    <row r="111" spans="1:4" ht="15.75" customHeight="1" x14ac:dyDescent="0.2">
      <c r="A111" s="657"/>
      <c r="B111" s="304">
        <f>B108</f>
        <v>0.04</v>
      </c>
      <c r="C111" s="235">
        <f>SUM(C98,C99,C106)</f>
        <v>909.7081189762232</v>
      </c>
      <c r="D111" s="235">
        <f>SUM(D98,D99,D106)</f>
        <v>932.94735441244632</v>
      </c>
    </row>
    <row r="112" spans="1:4" ht="26.45" customHeight="1" x14ac:dyDescent="0.2">
      <c r="A112" s="271"/>
      <c r="B112" s="288"/>
      <c r="C112" s="238"/>
      <c r="D112" s="238"/>
    </row>
    <row r="113" spans="1:5" ht="15" customHeight="1" x14ac:dyDescent="0.2">
      <c r="A113" s="236"/>
      <c r="B113" s="237"/>
      <c r="C113" s="237"/>
      <c r="D113" s="237"/>
    </row>
    <row r="114" spans="1:5" ht="28.15" customHeight="1" x14ac:dyDescent="0.2">
      <c r="A114" s="658" t="s">
        <v>233</v>
      </c>
      <c r="B114" s="658"/>
      <c r="C114" s="462" t="s">
        <v>234</v>
      </c>
      <c r="D114" s="462" t="s">
        <v>235</v>
      </c>
    </row>
    <row r="115" spans="1:5" ht="15" customHeight="1" x14ac:dyDescent="0.2">
      <c r="A115" s="659" t="s">
        <v>236</v>
      </c>
      <c r="B115" s="659"/>
      <c r="C115" s="306" t="s">
        <v>156</v>
      </c>
      <c r="D115" s="306" t="s">
        <v>156</v>
      </c>
    </row>
    <row r="116" spans="1:5" ht="15" customHeight="1" x14ac:dyDescent="0.2">
      <c r="A116" s="656" t="s">
        <v>237</v>
      </c>
      <c r="B116" s="656"/>
      <c r="C116" s="307">
        <f>C22</f>
        <v>1698</v>
      </c>
      <c r="D116" s="307">
        <f>D22</f>
        <v>1753</v>
      </c>
    </row>
    <row r="117" spans="1:5" ht="15" customHeight="1" x14ac:dyDescent="0.2">
      <c r="A117" s="656" t="s">
        <v>238</v>
      </c>
      <c r="B117" s="656"/>
      <c r="C117" s="307">
        <f>C51</f>
        <v>1454.2800000000002</v>
      </c>
      <c r="D117" s="307">
        <f>D51</f>
        <v>1479.58</v>
      </c>
    </row>
    <row r="118" spans="1:5" ht="15.75" customHeight="1" x14ac:dyDescent="0.2">
      <c r="A118" s="656" t="s">
        <v>239</v>
      </c>
      <c r="B118" s="656"/>
      <c r="C118" s="307">
        <f>C61</f>
        <v>111.21899999999999</v>
      </c>
      <c r="D118" s="307">
        <f>D61</f>
        <v>114.82149999999999</v>
      </c>
    </row>
    <row r="119" spans="1:5" ht="15.75" customHeight="1" x14ac:dyDescent="0.2">
      <c r="A119" s="656" t="s">
        <v>240</v>
      </c>
      <c r="B119" s="656"/>
      <c r="C119" s="307">
        <f>C85</f>
        <v>272.65941414489004</v>
      </c>
      <c r="D119" s="307">
        <f>D85</f>
        <v>281.46289222416499</v>
      </c>
    </row>
    <row r="120" spans="1:5" ht="15.75" customHeight="1" x14ac:dyDescent="0.2">
      <c r="A120" s="656" t="s">
        <v>241</v>
      </c>
      <c r="B120" s="656"/>
      <c r="C120" s="307">
        <f>C94</f>
        <v>92.85</v>
      </c>
      <c r="D120" s="307">
        <f>D94</f>
        <v>92.85</v>
      </c>
    </row>
    <row r="121" spans="1:5" ht="15.75" customHeight="1" x14ac:dyDescent="0.2">
      <c r="A121" s="661" t="s">
        <v>242</v>
      </c>
      <c r="B121" s="661"/>
      <c r="C121" s="308">
        <f>SUM(C116:C120)</f>
        <v>3629.0084141448901</v>
      </c>
      <c r="D121" s="308">
        <f>SUM(D116:D120)</f>
        <v>3721.7143922241648</v>
      </c>
    </row>
    <row r="122" spans="1:5" ht="15.75" customHeight="1" x14ac:dyDescent="0.2">
      <c r="A122" s="656" t="s">
        <v>251</v>
      </c>
      <c r="B122" s="656"/>
      <c r="C122" s="307">
        <f t="shared" ref="C122:D124" si="4">C109</f>
        <v>813.4979115968672</v>
      </c>
      <c r="D122" s="307">
        <f t="shared" si="4"/>
        <v>834.27937886106088</v>
      </c>
    </row>
    <row r="123" spans="1:5" ht="15.75" customHeight="1" x14ac:dyDescent="0.2">
      <c r="A123" s="656" t="s">
        <v>243</v>
      </c>
      <c r="B123" s="656"/>
      <c r="C123" s="307">
        <f t="shared" si="4"/>
        <v>861.0876954826922</v>
      </c>
      <c r="D123" s="307">
        <f t="shared" si="4"/>
        <v>883.08488256845476</v>
      </c>
    </row>
    <row r="124" spans="1:5" ht="15.75" customHeight="1" x14ac:dyDescent="0.2">
      <c r="A124" s="656" t="s">
        <v>256</v>
      </c>
      <c r="B124" s="656"/>
      <c r="C124" s="307">
        <f t="shared" si="4"/>
        <v>909.7081189762232</v>
      </c>
      <c r="D124" s="307">
        <f t="shared" si="4"/>
        <v>932.94735441244632</v>
      </c>
    </row>
    <row r="125" spans="1:5" ht="14.65" customHeight="1" x14ac:dyDescent="0.2">
      <c r="A125" s="662" t="s">
        <v>245</v>
      </c>
      <c r="B125" s="462" t="s">
        <v>252</v>
      </c>
      <c r="C125" s="309">
        <f>TRUNC(SUM(C121,C122),2)</f>
        <v>4442.5</v>
      </c>
      <c r="D125" s="309">
        <f>TRUNC(SUM(D121,D122),2)</f>
        <v>4555.99</v>
      </c>
    </row>
    <row r="126" spans="1:5" ht="14.65" customHeight="1" x14ac:dyDescent="0.2">
      <c r="A126" s="662"/>
      <c r="B126" s="462" t="s">
        <v>246</v>
      </c>
      <c r="C126" s="309">
        <f>TRUNC(SUM(C121,C123),2)</f>
        <v>4490.09</v>
      </c>
      <c r="D126" s="309">
        <f>TRUNC(SUM(D121,D123),2)</f>
        <v>4604.79</v>
      </c>
    </row>
    <row r="127" spans="1:5" ht="14.65" customHeight="1" x14ac:dyDescent="0.2">
      <c r="A127" s="662"/>
      <c r="B127" s="464" t="s">
        <v>258</v>
      </c>
      <c r="C127" s="309">
        <f>TRUNC(SUM(C121,C124),2)</f>
        <v>4538.71</v>
      </c>
      <c r="D127" s="309">
        <f>TRUNC(SUM(D121,D124),2)</f>
        <v>4654.66</v>
      </c>
    </row>
    <row r="128" spans="1:5" ht="14.65" customHeight="1" x14ac:dyDescent="0.2">
      <c r="A128" s="662" t="s">
        <v>458</v>
      </c>
      <c r="B128" s="462" t="str">
        <f>B125</f>
        <v>ISS 2,00%</v>
      </c>
      <c r="C128" s="309">
        <f t="shared" ref="C128:D130" si="5">C125/220*8.8</f>
        <v>177.7</v>
      </c>
      <c r="D128" s="309">
        <f t="shared" si="5"/>
        <v>182.2396</v>
      </c>
      <c r="E128" s="310"/>
    </row>
    <row r="129" spans="1:4" ht="14.65" customHeight="1" x14ac:dyDescent="0.2">
      <c r="A129" s="662"/>
      <c r="B129" s="462" t="str">
        <f>B126</f>
        <v>ISS 3,00%</v>
      </c>
      <c r="C129" s="309">
        <f t="shared" si="5"/>
        <v>179.60360000000003</v>
      </c>
      <c r="D129" s="309">
        <f t="shared" si="5"/>
        <v>184.19160000000002</v>
      </c>
    </row>
    <row r="130" spans="1:4" ht="14.65" customHeight="1" x14ac:dyDescent="0.2">
      <c r="A130" s="662"/>
      <c r="B130" s="462" t="str">
        <f>B127</f>
        <v>ISS 4,00%</v>
      </c>
      <c r="C130" s="309">
        <f t="shared" si="5"/>
        <v>181.54840000000002</v>
      </c>
      <c r="D130" s="309">
        <f t="shared" si="5"/>
        <v>186.18639999999999</v>
      </c>
    </row>
    <row r="132" spans="1:4" ht="55.9" customHeight="1" x14ac:dyDescent="0.2">
      <c r="A132" s="660" t="s">
        <v>248</v>
      </c>
      <c r="B132" s="660"/>
      <c r="C132" s="660"/>
      <c r="D132" s="660"/>
    </row>
  </sheetData>
  <mergeCells count="26">
    <mergeCell ref="A13:D13"/>
    <mergeCell ref="A1:D1"/>
    <mergeCell ref="A2:D2"/>
    <mergeCell ref="A3:D3"/>
    <mergeCell ref="A4:D4"/>
    <mergeCell ref="A6:D6"/>
    <mergeCell ref="A119:B119"/>
    <mergeCell ref="A24:D24"/>
    <mergeCell ref="A53:D53"/>
    <mergeCell ref="A63:D63"/>
    <mergeCell ref="A87:D87"/>
    <mergeCell ref="A96:D96"/>
    <mergeCell ref="A109:A111"/>
    <mergeCell ref="A114:B114"/>
    <mergeCell ref="A115:B115"/>
    <mergeCell ref="A116:B116"/>
    <mergeCell ref="A117:B117"/>
    <mergeCell ref="A118:B118"/>
    <mergeCell ref="A125:A127"/>
    <mergeCell ref="A128:A130"/>
    <mergeCell ref="A132:D132"/>
    <mergeCell ref="A120:B120"/>
    <mergeCell ref="A121:B121"/>
    <mergeCell ref="A122:B122"/>
    <mergeCell ref="A123:B123"/>
    <mergeCell ref="A124:B124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8"/>
  <sheetViews>
    <sheetView workbookViewId="0">
      <selection activeCell="H23" sqref="H23"/>
    </sheetView>
  </sheetViews>
  <sheetFormatPr defaultRowHeight="14.65" customHeight="1" x14ac:dyDescent="0.2"/>
  <cols>
    <col min="1" max="1" width="63.5" style="203" customWidth="1"/>
    <col min="2" max="2" width="18.625" style="203" customWidth="1"/>
    <col min="3" max="4" width="15.75" style="203" customWidth="1"/>
    <col min="5" max="24" width="8.625" style="203" customWidth="1"/>
    <col min="25" max="64" width="8.625" style="204" customWidth="1"/>
  </cols>
  <sheetData>
    <row r="1" spans="1:4" ht="19.350000000000001" customHeight="1" x14ac:dyDescent="0.2">
      <c r="A1" s="665" t="s">
        <v>476</v>
      </c>
      <c r="B1" s="665"/>
      <c r="C1" s="665"/>
      <c r="D1" s="665"/>
    </row>
    <row r="2" spans="1:4" ht="14.65" customHeight="1" x14ac:dyDescent="0.2">
      <c r="A2" s="666" t="s">
        <v>71</v>
      </c>
      <c r="B2" s="666"/>
      <c r="C2" s="666"/>
      <c r="D2" s="666"/>
    </row>
    <row r="3" spans="1:4" ht="14.65" customHeight="1" x14ac:dyDescent="0.2">
      <c r="A3" s="667" t="s">
        <v>72</v>
      </c>
      <c r="B3" s="667"/>
      <c r="C3" s="667"/>
      <c r="D3" s="667"/>
    </row>
    <row r="4" spans="1:4" ht="24.4" customHeight="1" x14ac:dyDescent="0.2">
      <c r="A4" s="590" t="s">
        <v>140</v>
      </c>
      <c r="B4" s="590"/>
      <c r="C4" s="590"/>
      <c r="D4" s="590"/>
    </row>
    <row r="5" spans="1:4" ht="14.65" customHeight="1" x14ac:dyDescent="0.2">
      <c r="A5" s="202"/>
      <c r="B5" s="202"/>
      <c r="C5" s="202"/>
      <c r="D5" s="202"/>
    </row>
    <row r="6" spans="1:4" ht="17.100000000000001" customHeight="1" x14ac:dyDescent="0.2">
      <c r="A6" s="648" t="s">
        <v>253</v>
      </c>
      <c r="B6" s="648"/>
      <c r="C6" s="648"/>
      <c r="D6" s="648"/>
    </row>
    <row r="7" spans="1:4" ht="15.75" customHeight="1" x14ac:dyDescent="0.2">
      <c r="A7" s="205"/>
      <c r="B7" s="206" t="s">
        <v>142</v>
      </c>
      <c r="C7" s="207">
        <v>2679.48</v>
      </c>
      <c r="D7" s="207">
        <f>C7</f>
        <v>2679.48</v>
      </c>
    </row>
    <row r="8" spans="1:4" ht="14.65" customHeight="1" x14ac:dyDescent="0.2">
      <c r="A8" s="208"/>
      <c r="B8" s="209" t="s">
        <v>143</v>
      </c>
      <c r="C8" s="210">
        <v>44682</v>
      </c>
      <c r="D8" s="210">
        <f>C8</f>
        <v>44682</v>
      </c>
    </row>
    <row r="9" spans="1:4" ht="14.65" customHeight="1" x14ac:dyDescent="0.2">
      <c r="A9" s="211" t="s">
        <v>439</v>
      </c>
      <c r="B9" s="209" t="s">
        <v>144</v>
      </c>
      <c r="C9" s="212" t="s">
        <v>428</v>
      </c>
      <c r="D9" s="212" t="str">
        <f>C9</f>
        <v>RS001651/2022</v>
      </c>
    </row>
    <row r="10" spans="1:4" ht="14.65" customHeight="1" x14ac:dyDescent="0.2">
      <c r="A10" s="213"/>
      <c r="B10" s="214" t="s">
        <v>146</v>
      </c>
      <c r="C10" s="215" t="s">
        <v>147</v>
      </c>
      <c r="D10" s="215" t="s">
        <v>148</v>
      </c>
    </row>
    <row r="11" spans="1:4" ht="12.75" customHeight="1" x14ac:dyDescent="0.2">
      <c r="A11" s="216"/>
      <c r="B11" s="217"/>
      <c r="C11" s="218"/>
      <c r="D11" s="218"/>
    </row>
    <row r="12" spans="1:4" ht="45" customHeight="1" x14ac:dyDescent="0.2">
      <c r="A12" s="219" t="s">
        <v>149</v>
      </c>
      <c r="B12" s="220" t="s">
        <v>150</v>
      </c>
      <c r="C12" s="220" t="s">
        <v>151</v>
      </c>
      <c r="D12" s="220" t="s">
        <v>152</v>
      </c>
    </row>
    <row r="13" spans="1:4" ht="16.5" customHeight="1" x14ac:dyDescent="0.2">
      <c r="A13" s="647" t="s">
        <v>153</v>
      </c>
      <c r="B13" s="647"/>
      <c r="C13" s="647"/>
      <c r="D13" s="647"/>
    </row>
    <row r="14" spans="1:4" ht="15.75" customHeight="1" x14ac:dyDescent="0.2">
      <c r="A14" s="221" t="s">
        <v>154</v>
      </c>
      <c r="B14" s="222" t="s">
        <v>155</v>
      </c>
      <c r="C14" s="223" t="s">
        <v>156</v>
      </c>
      <c r="D14" s="223" t="s">
        <v>156</v>
      </c>
    </row>
    <row r="15" spans="1:4" ht="15.75" customHeight="1" x14ac:dyDescent="0.25">
      <c r="A15" s="224" t="s">
        <v>157</v>
      </c>
      <c r="B15" s="225"/>
      <c r="C15" s="313">
        <f>C7</f>
        <v>2679.48</v>
      </c>
      <c r="D15" s="313">
        <f>D7</f>
        <v>2679.48</v>
      </c>
    </row>
    <row r="16" spans="1:4" ht="15.75" customHeight="1" x14ac:dyDescent="0.25">
      <c r="A16" s="224" t="s">
        <v>158</v>
      </c>
      <c r="B16" s="229"/>
      <c r="C16" s="314">
        <v>0</v>
      </c>
      <c r="D16" s="314">
        <v>0</v>
      </c>
    </row>
    <row r="17" spans="1:64" ht="15.75" customHeight="1" x14ac:dyDescent="0.25">
      <c r="A17" s="224" t="s">
        <v>159</v>
      </c>
      <c r="B17" s="229"/>
      <c r="C17" s="313">
        <v>0</v>
      </c>
      <c r="D17" s="313">
        <v>0</v>
      </c>
    </row>
    <row r="18" spans="1:64" ht="15.75" customHeight="1" x14ac:dyDescent="0.25">
      <c r="A18" s="224" t="s">
        <v>254</v>
      </c>
      <c r="B18" s="229"/>
      <c r="C18" s="313"/>
      <c r="D18" s="313"/>
    </row>
    <row r="19" spans="1:64" ht="15.75" customHeight="1" x14ac:dyDescent="0.25">
      <c r="A19" s="224" t="s">
        <v>161</v>
      </c>
      <c r="B19" s="229"/>
      <c r="C19" s="313"/>
      <c r="D19" s="313"/>
    </row>
    <row r="20" spans="1:64" ht="15.75" customHeight="1" x14ac:dyDescent="0.25">
      <c r="A20" s="224" t="s">
        <v>162</v>
      </c>
      <c r="B20" s="229"/>
      <c r="C20" s="313"/>
      <c r="D20" s="313"/>
    </row>
    <row r="21" spans="1:64" ht="15.75" customHeight="1" x14ac:dyDescent="0.25">
      <c r="A21" s="224" t="s">
        <v>163</v>
      </c>
      <c r="B21" s="232"/>
      <c r="C21" s="313"/>
      <c r="D21" s="313"/>
    </row>
    <row r="22" spans="1:64" ht="15.75" customHeight="1" x14ac:dyDescent="0.2">
      <c r="A22" s="233" t="s">
        <v>164</v>
      </c>
      <c r="B22" s="234"/>
      <c r="C22" s="235">
        <f>SUM(C15:C21)</f>
        <v>2679.48</v>
      </c>
      <c r="D22" s="235">
        <f>SUM(D15:D21)</f>
        <v>2679.48</v>
      </c>
    </row>
    <row r="23" spans="1:64" ht="15.75" customHeight="1" x14ac:dyDescent="0.2">
      <c r="A23" s="236"/>
      <c r="B23" s="237"/>
      <c r="C23" s="238"/>
      <c r="D23" s="238"/>
    </row>
    <row r="24" spans="1:64" ht="16.149999999999999" customHeight="1" x14ac:dyDescent="0.2">
      <c r="A24" s="647" t="s">
        <v>165</v>
      </c>
      <c r="B24" s="647"/>
      <c r="C24" s="647"/>
      <c r="D24" s="647"/>
    </row>
    <row r="25" spans="1:64" ht="15.75" customHeight="1" x14ac:dyDescent="0.2">
      <c r="A25" s="239" t="s">
        <v>166</v>
      </c>
      <c r="B25" s="240" t="s">
        <v>167</v>
      </c>
      <c r="C25" s="240" t="s">
        <v>156</v>
      </c>
      <c r="D25" s="240" t="s">
        <v>156</v>
      </c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  <c r="BI25" s="216"/>
      <c r="BJ25" s="216"/>
      <c r="BK25" s="216"/>
      <c r="BL25" s="216"/>
    </row>
    <row r="26" spans="1:64" ht="15.75" customHeight="1" x14ac:dyDescent="0.2">
      <c r="A26" s="241" t="s">
        <v>168</v>
      </c>
      <c r="B26" s="242">
        <f>1/12</f>
        <v>8.3333333333333329E-2</v>
      </c>
      <c r="C26" s="243">
        <f>$B26*C15</f>
        <v>223.29</v>
      </c>
      <c r="D26" s="243">
        <f>$B26*D15</f>
        <v>223.29</v>
      </c>
      <c r="Y26" s="216"/>
      <c r="Z26" s="216"/>
      <c r="AA26" s="216"/>
      <c r="AB26" s="216"/>
      <c r="AC26" s="216"/>
      <c r="AD26" s="216"/>
      <c r="AE26" s="216"/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  <c r="BI26" s="216"/>
      <c r="BJ26" s="216"/>
      <c r="BK26" s="216"/>
      <c r="BL26" s="216"/>
    </row>
    <row r="27" spans="1:64" ht="15.75" customHeight="1" x14ac:dyDescent="0.2">
      <c r="A27" s="224" t="s">
        <v>169</v>
      </c>
      <c r="B27" s="244">
        <f>1/3*1/12</f>
        <v>2.7777777777777776E-2</v>
      </c>
      <c r="C27" s="245">
        <f>C15*$B27</f>
        <v>74.429999999999993</v>
      </c>
      <c r="D27" s="245">
        <f>D15*$B27</f>
        <v>74.429999999999993</v>
      </c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  <c r="BI27" s="216"/>
      <c r="BJ27" s="216"/>
      <c r="BK27" s="216"/>
      <c r="BL27" s="216"/>
    </row>
    <row r="28" spans="1:64" ht="15.75" customHeight="1" x14ac:dyDescent="0.2">
      <c r="A28" s="246" t="s">
        <v>170</v>
      </c>
      <c r="B28" s="247">
        <f>SUM(B26:B27)</f>
        <v>0.1111111111111111</v>
      </c>
      <c r="C28" s="235">
        <f>SUM(C26:C27)</f>
        <v>297.71999999999997</v>
      </c>
      <c r="D28" s="235">
        <f>SUM(D26:D27)</f>
        <v>297.71999999999997</v>
      </c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  <c r="BI28" s="216"/>
      <c r="BJ28" s="216"/>
      <c r="BK28" s="216"/>
      <c r="BL28" s="216"/>
    </row>
    <row r="29" spans="1:64" ht="27.6" customHeight="1" x14ac:dyDescent="0.2">
      <c r="A29" s="248" t="s">
        <v>171</v>
      </c>
      <c r="B29" s="249" t="s">
        <v>167</v>
      </c>
      <c r="C29" s="249" t="s">
        <v>156</v>
      </c>
      <c r="D29" s="249" t="s">
        <v>156</v>
      </c>
    </row>
    <row r="30" spans="1:64" ht="15.75" customHeight="1" x14ac:dyDescent="0.2">
      <c r="A30" s="224" t="s">
        <v>172</v>
      </c>
      <c r="B30" s="250">
        <v>0.2</v>
      </c>
      <c r="C30" s="251">
        <f t="shared" ref="C30:C37" si="0">($C$22+$C$28)*$B30</f>
        <v>595.43999999999994</v>
      </c>
      <c r="D30" s="251">
        <f t="shared" ref="D30:D37" si="1">($D$22+$D$28)*$B30</f>
        <v>595.43999999999994</v>
      </c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  <c r="BI30" s="253"/>
      <c r="BJ30" s="253"/>
      <c r="BK30" s="253"/>
      <c r="BL30" s="253"/>
    </row>
    <row r="31" spans="1:64" ht="15.75" customHeight="1" x14ac:dyDescent="0.2">
      <c r="A31" s="224" t="s">
        <v>173</v>
      </c>
      <c r="B31" s="250">
        <v>2.5000000000000001E-2</v>
      </c>
      <c r="C31" s="251">
        <f t="shared" si="0"/>
        <v>74.429999999999993</v>
      </c>
      <c r="D31" s="251">
        <f t="shared" si="1"/>
        <v>74.429999999999993</v>
      </c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3"/>
      <c r="Z31" s="253"/>
      <c r="AA31" s="253"/>
      <c r="AB31" s="253"/>
      <c r="AC31" s="253"/>
      <c r="AD31" s="253"/>
      <c r="AE31" s="253"/>
      <c r="AF31" s="253"/>
      <c r="AG31" s="253"/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  <c r="BI31" s="253"/>
      <c r="BJ31" s="253"/>
      <c r="BK31" s="253"/>
      <c r="BL31" s="253"/>
    </row>
    <row r="32" spans="1:64" ht="15.75" customHeight="1" x14ac:dyDescent="0.2">
      <c r="A32" s="224" t="s">
        <v>174</v>
      </c>
      <c r="B32" s="254">
        <v>0.03</v>
      </c>
      <c r="C32" s="251">
        <f t="shared" si="0"/>
        <v>89.315999999999988</v>
      </c>
      <c r="D32" s="251">
        <f t="shared" si="1"/>
        <v>89.315999999999988</v>
      </c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  <c r="BI32" s="253"/>
      <c r="BJ32" s="253"/>
      <c r="BK32" s="253"/>
      <c r="BL32" s="253"/>
    </row>
    <row r="33" spans="1:64" ht="15.75" customHeight="1" x14ac:dyDescent="0.2">
      <c r="A33" s="224" t="s">
        <v>175</v>
      </c>
      <c r="B33" s="250">
        <v>1.4999999999999999E-2</v>
      </c>
      <c r="C33" s="251">
        <f t="shared" si="0"/>
        <v>44.657999999999994</v>
      </c>
      <c r="D33" s="251">
        <f t="shared" si="1"/>
        <v>44.657999999999994</v>
      </c>
      <c r="E33" s="252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</row>
    <row r="34" spans="1:64" ht="15.75" customHeight="1" x14ac:dyDescent="0.2">
      <c r="A34" s="224" t="s">
        <v>176</v>
      </c>
      <c r="B34" s="250">
        <v>0.01</v>
      </c>
      <c r="C34" s="251">
        <f t="shared" si="0"/>
        <v>29.771999999999998</v>
      </c>
      <c r="D34" s="251">
        <f t="shared" si="1"/>
        <v>29.771999999999998</v>
      </c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</row>
    <row r="35" spans="1:64" ht="15.75" customHeight="1" x14ac:dyDescent="0.2">
      <c r="A35" s="224" t="s">
        <v>177</v>
      </c>
      <c r="B35" s="250">
        <v>6.0000000000000001E-3</v>
      </c>
      <c r="C35" s="251">
        <f t="shared" si="0"/>
        <v>17.863199999999999</v>
      </c>
      <c r="D35" s="251">
        <f t="shared" si="1"/>
        <v>17.863199999999999</v>
      </c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</row>
    <row r="36" spans="1:64" ht="15.75" customHeight="1" x14ac:dyDescent="0.2">
      <c r="A36" s="224" t="s">
        <v>178</v>
      </c>
      <c r="B36" s="250">
        <v>2E-3</v>
      </c>
      <c r="C36" s="251">
        <f t="shared" si="0"/>
        <v>5.9543999999999997</v>
      </c>
      <c r="D36" s="251">
        <f t="shared" si="1"/>
        <v>5.9543999999999997</v>
      </c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3"/>
      <c r="Z36" s="253"/>
      <c r="AA36" s="253"/>
      <c r="AB36" s="253"/>
      <c r="AC36" s="253"/>
      <c r="AD36" s="253"/>
      <c r="AE36" s="253"/>
      <c r="AF36" s="253"/>
      <c r="AG36" s="253"/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  <c r="BI36" s="253"/>
      <c r="BJ36" s="253"/>
      <c r="BK36" s="253"/>
      <c r="BL36" s="253"/>
    </row>
    <row r="37" spans="1:64" ht="15.75" customHeight="1" x14ac:dyDescent="0.2">
      <c r="A37" s="224" t="s">
        <v>179</v>
      </c>
      <c r="B37" s="250">
        <v>0.08</v>
      </c>
      <c r="C37" s="251">
        <f t="shared" si="0"/>
        <v>238.17599999999999</v>
      </c>
      <c r="D37" s="251">
        <f t="shared" si="1"/>
        <v>238.17599999999999</v>
      </c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3"/>
      <c r="Z37" s="253"/>
      <c r="AA37" s="253"/>
      <c r="AB37" s="253"/>
      <c r="AC37" s="253"/>
      <c r="AD37" s="253"/>
      <c r="AE37" s="253"/>
      <c r="AF37" s="253"/>
      <c r="AG37" s="253"/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  <c r="BI37" s="253"/>
      <c r="BJ37" s="253"/>
      <c r="BK37" s="253"/>
      <c r="BL37" s="253"/>
    </row>
    <row r="38" spans="1:64" ht="15.75" customHeight="1" x14ac:dyDescent="0.2">
      <c r="A38" s="246" t="s">
        <v>170</v>
      </c>
      <c r="B38" s="247">
        <f>SUM(B30:B37)</f>
        <v>0.36800000000000005</v>
      </c>
      <c r="C38" s="255">
        <f>SUM(C30:C37)</f>
        <v>1095.6096</v>
      </c>
      <c r="D38" s="255">
        <f>SUM(D30:D37)</f>
        <v>1095.6096</v>
      </c>
    </row>
    <row r="39" spans="1:64" ht="15.75" customHeight="1" x14ac:dyDescent="0.2">
      <c r="A39" s="256" t="s">
        <v>180</v>
      </c>
      <c r="B39" s="249" t="s">
        <v>181</v>
      </c>
      <c r="C39" s="257" t="s">
        <v>156</v>
      </c>
      <c r="D39" s="257" t="s">
        <v>156</v>
      </c>
    </row>
    <row r="40" spans="1:64" ht="15.75" customHeight="1" x14ac:dyDescent="0.25">
      <c r="A40" s="224" t="s">
        <v>182</v>
      </c>
      <c r="B40" s="258">
        <f>'VT, Uniforme e Plano Celular'!C24</f>
        <v>5</v>
      </c>
      <c r="C40" s="259">
        <f>((2*22*$B$40)-0.06*C22)</f>
        <v>59.231200000000001</v>
      </c>
      <c r="D40" s="259">
        <f>((2*22*$B$40)-0.06*D22)</f>
        <v>59.231200000000001</v>
      </c>
    </row>
    <row r="41" spans="1:64" ht="15.75" customHeight="1" x14ac:dyDescent="0.2">
      <c r="A41" s="224" t="s">
        <v>429</v>
      </c>
      <c r="B41" s="260">
        <v>27.68</v>
      </c>
      <c r="C41" s="245">
        <f>($B$41*0.8)*22</f>
        <v>487.16800000000006</v>
      </c>
      <c r="D41" s="245">
        <f>($B$41*0.8)*22</f>
        <v>487.16800000000006</v>
      </c>
    </row>
    <row r="42" spans="1:64" ht="15.75" customHeight="1" x14ac:dyDescent="0.2">
      <c r="A42" s="261" t="s">
        <v>184</v>
      </c>
      <c r="B42" s="315">
        <v>39.9</v>
      </c>
      <c r="C42" s="245">
        <f>$B$42*0.8</f>
        <v>31.92</v>
      </c>
      <c r="D42" s="245">
        <f>$B$42*0.8</f>
        <v>31.92</v>
      </c>
    </row>
    <row r="43" spans="1:64" ht="15.75" customHeight="1" x14ac:dyDescent="0.2">
      <c r="A43" s="224" t="s">
        <v>185</v>
      </c>
      <c r="B43" s="315">
        <v>24.9933333333333</v>
      </c>
      <c r="C43" s="245">
        <f>B43</f>
        <v>24.9933333333333</v>
      </c>
      <c r="D43" s="245">
        <f>B43</f>
        <v>24.9933333333333</v>
      </c>
    </row>
    <row r="44" spans="1:64" ht="15.75" customHeight="1" x14ac:dyDescent="0.2">
      <c r="A44" s="224" t="s">
        <v>430</v>
      </c>
      <c r="B44" s="315">
        <v>181.93</v>
      </c>
      <c r="C44" s="245">
        <f>$B$44-6</f>
        <v>175.93</v>
      </c>
      <c r="D44" s="245">
        <f>$B$44-6</f>
        <v>175.93</v>
      </c>
    </row>
    <row r="45" spans="1:64" ht="15.75" customHeight="1" x14ac:dyDescent="0.2">
      <c r="A45" s="224" t="s">
        <v>187</v>
      </c>
      <c r="B45" s="315"/>
      <c r="C45" s="245"/>
      <c r="D45" s="245"/>
    </row>
    <row r="46" spans="1:64" ht="15.75" customHeight="1" x14ac:dyDescent="0.2">
      <c r="A46" s="246" t="s">
        <v>170</v>
      </c>
      <c r="B46" s="235"/>
      <c r="C46" s="255">
        <f>SUM(C40:C45)</f>
        <v>779.24253333333331</v>
      </c>
      <c r="D46" s="255">
        <f>SUM(D40:D45)</f>
        <v>779.24253333333331</v>
      </c>
    </row>
    <row r="47" spans="1:64" ht="15.75" customHeight="1" x14ac:dyDescent="0.2">
      <c r="A47" s="263" t="s">
        <v>188</v>
      </c>
      <c r="B47" s="223" t="s">
        <v>155</v>
      </c>
      <c r="C47" s="264" t="s">
        <v>156</v>
      </c>
      <c r="D47" s="264" t="s">
        <v>156</v>
      </c>
    </row>
    <row r="48" spans="1:64" ht="15.75" customHeight="1" x14ac:dyDescent="0.2">
      <c r="A48" s="265" t="s">
        <v>189</v>
      </c>
      <c r="B48" s="266">
        <f>B28</f>
        <v>0.1111111111111111</v>
      </c>
      <c r="C48" s="243">
        <f>C28</f>
        <v>297.71999999999997</v>
      </c>
      <c r="D48" s="243">
        <f>D28</f>
        <v>297.71999999999997</v>
      </c>
    </row>
    <row r="49" spans="1:64" ht="15.75" customHeight="1" x14ac:dyDescent="0.2">
      <c r="A49" s="267" t="s">
        <v>190</v>
      </c>
      <c r="B49" s="268">
        <f>B38</f>
        <v>0.36800000000000005</v>
      </c>
      <c r="C49" s="245">
        <f>C38</f>
        <v>1095.6096</v>
      </c>
      <c r="D49" s="245">
        <f>D38</f>
        <v>1095.6096</v>
      </c>
    </row>
    <row r="50" spans="1:64" ht="15.75" customHeight="1" x14ac:dyDescent="0.2">
      <c r="A50" s="267" t="s">
        <v>191</v>
      </c>
      <c r="B50" s="269"/>
      <c r="C50" s="245">
        <f>C46</f>
        <v>779.24253333333331</v>
      </c>
      <c r="D50" s="245">
        <f>D46</f>
        <v>779.24253333333331</v>
      </c>
    </row>
    <row r="51" spans="1:64" ht="15.75" customHeight="1" x14ac:dyDescent="0.2">
      <c r="A51" s="233" t="s">
        <v>164</v>
      </c>
      <c r="B51" s="270"/>
      <c r="C51" s="235">
        <f>SUM(C48:C50)</f>
        <v>2172.5721333333331</v>
      </c>
      <c r="D51" s="235">
        <f>SUM(D48:D50)</f>
        <v>2172.5721333333331</v>
      </c>
    </row>
    <row r="52" spans="1:64" ht="15.75" customHeight="1" x14ac:dyDescent="0.2">
      <c r="A52" s="271"/>
      <c r="B52" s="238"/>
      <c r="C52" s="238"/>
      <c r="D52" s="238"/>
    </row>
    <row r="53" spans="1:64" ht="16.5" customHeight="1" x14ac:dyDescent="0.2">
      <c r="A53" s="647" t="s">
        <v>192</v>
      </c>
      <c r="B53" s="647"/>
      <c r="C53" s="647"/>
      <c r="D53" s="647"/>
    </row>
    <row r="54" spans="1:64" ht="15.75" customHeight="1" thickBot="1" x14ac:dyDescent="0.25">
      <c r="A54" s="221" t="s">
        <v>193</v>
      </c>
      <c r="B54" s="223" t="s">
        <v>167</v>
      </c>
      <c r="C54" s="272" t="s">
        <v>156</v>
      </c>
      <c r="D54" s="272" t="s">
        <v>156</v>
      </c>
    </row>
    <row r="55" spans="1:64" ht="15.75" customHeight="1" thickTop="1" x14ac:dyDescent="0.2">
      <c r="A55" s="224" t="s">
        <v>194</v>
      </c>
      <c r="B55" s="273">
        <f>1/12*0.05</f>
        <v>4.1666666666666666E-3</v>
      </c>
      <c r="C55" s="274">
        <f>$B55*$C$22</f>
        <v>11.1645</v>
      </c>
      <c r="D55" s="274">
        <f>$B55*$D$22</f>
        <v>11.1645</v>
      </c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  <c r="BI55" s="253"/>
      <c r="BJ55" s="253"/>
      <c r="BK55" s="253"/>
      <c r="BL55" s="253"/>
    </row>
    <row r="56" spans="1:64" ht="15.75" customHeight="1" x14ac:dyDescent="0.2">
      <c r="A56" s="230" t="s">
        <v>195</v>
      </c>
      <c r="B56" s="273">
        <f>B37*B55</f>
        <v>3.3333333333333332E-4</v>
      </c>
      <c r="C56" s="274">
        <f>$B56*$C$22</f>
        <v>0.89315999999999995</v>
      </c>
      <c r="D56" s="274">
        <f>$B56*$D$22</f>
        <v>0.89315999999999995</v>
      </c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</row>
    <row r="57" spans="1:64" ht="15.75" customHeight="1" x14ac:dyDescent="0.2">
      <c r="A57" s="224" t="s">
        <v>196</v>
      </c>
      <c r="B57" s="273">
        <v>0</v>
      </c>
      <c r="C57" s="274">
        <f>B57*$C$22</f>
        <v>0</v>
      </c>
      <c r="D57" s="274">
        <f>C57*$C$22</f>
        <v>0</v>
      </c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3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  <c r="BI57" s="253"/>
      <c r="BJ57" s="253"/>
      <c r="BK57" s="253"/>
      <c r="BL57" s="253"/>
    </row>
    <row r="58" spans="1:64" ht="15.75" customHeight="1" x14ac:dyDescent="0.2">
      <c r="A58" s="224" t="s">
        <v>197</v>
      </c>
      <c r="B58" s="273">
        <f>1/30*7/12</f>
        <v>1.9444444444444445E-2</v>
      </c>
      <c r="C58" s="274">
        <f>$B58*$C$22</f>
        <v>52.100999999999999</v>
      </c>
      <c r="D58" s="274">
        <f>$B58*$D$22</f>
        <v>52.100999999999999</v>
      </c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253"/>
      <c r="AT58" s="253"/>
      <c r="AU58" s="253"/>
      <c r="AV58" s="253"/>
      <c r="AW58" s="253"/>
      <c r="AX58" s="253"/>
      <c r="AY58" s="253"/>
      <c r="AZ58" s="253"/>
      <c r="BA58" s="253"/>
      <c r="BB58" s="253"/>
      <c r="BC58" s="253"/>
      <c r="BD58" s="253"/>
      <c r="BE58" s="253"/>
      <c r="BF58" s="253"/>
      <c r="BG58" s="253"/>
      <c r="BH58" s="253"/>
      <c r="BI58" s="253"/>
      <c r="BJ58" s="253"/>
      <c r="BK58" s="253"/>
      <c r="BL58" s="253"/>
    </row>
    <row r="59" spans="1:64" ht="15.75" customHeight="1" x14ac:dyDescent="0.2">
      <c r="A59" s="224" t="s">
        <v>198</v>
      </c>
      <c r="B59" s="273">
        <f>B58*B38</f>
        <v>7.1555555555555565E-3</v>
      </c>
      <c r="C59" s="274">
        <f>$B59*$C$22</f>
        <v>19.173168000000004</v>
      </c>
      <c r="D59" s="274">
        <f>$B59*$D$22</f>
        <v>19.173168000000004</v>
      </c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3"/>
      <c r="Z59" s="253"/>
      <c r="AA59" s="253"/>
      <c r="AB59" s="253"/>
      <c r="AC59" s="253"/>
      <c r="AD59" s="253"/>
      <c r="AE59" s="253"/>
      <c r="AF59" s="253"/>
      <c r="AG59" s="253"/>
      <c r="AH59" s="253"/>
      <c r="AI59" s="253"/>
      <c r="AJ59" s="253"/>
      <c r="AK59" s="253"/>
      <c r="AL59" s="253"/>
      <c r="AM59" s="253"/>
      <c r="AN59" s="253"/>
      <c r="AO59" s="253"/>
      <c r="AP59" s="253"/>
      <c r="AQ59" s="253"/>
      <c r="AR59" s="253"/>
      <c r="AS59" s="253"/>
      <c r="AT59" s="253"/>
      <c r="AU59" s="253"/>
      <c r="AV59" s="253"/>
      <c r="AW59" s="253"/>
      <c r="AX59" s="253"/>
      <c r="AY59" s="253"/>
      <c r="AZ59" s="253"/>
      <c r="BA59" s="253"/>
      <c r="BB59" s="253"/>
      <c r="BC59" s="253"/>
      <c r="BD59" s="253"/>
      <c r="BE59" s="253"/>
      <c r="BF59" s="253"/>
      <c r="BG59" s="253"/>
      <c r="BH59" s="253"/>
      <c r="BI59" s="253"/>
      <c r="BJ59" s="253"/>
      <c r="BK59" s="253"/>
      <c r="BL59" s="253"/>
    </row>
    <row r="60" spans="1:64" ht="15.75" customHeight="1" x14ac:dyDescent="0.2">
      <c r="A60" s="224" t="s">
        <v>199</v>
      </c>
      <c r="B60" s="276">
        <f>B37*0.4*0.9*(1+1/12+1/12+1/3*1/12)</f>
        <v>3.4399999999999993E-2</v>
      </c>
      <c r="C60" s="274">
        <f>$B60*$C$22</f>
        <v>92.17411199999998</v>
      </c>
      <c r="D60" s="274">
        <f>$B60*$D$22</f>
        <v>92.17411199999998</v>
      </c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253"/>
      <c r="BC60" s="253"/>
      <c r="BD60" s="253"/>
      <c r="BE60" s="253"/>
      <c r="BF60" s="253"/>
      <c r="BG60" s="253"/>
      <c r="BH60" s="253"/>
      <c r="BI60" s="253"/>
      <c r="BJ60" s="253"/>
      <c r="BK60" s="253"/>
      <c r="BL60" s="253"/>
    </row>
    <row r="61" spans="1:64" ht="15.75" customHeight="1" x14ac:dyDescent="0.2">
      <c r="A61" s="246" t="s">
        <v>164</v>
      </c>
      <c r="B61" s="277">
        <f>SUM(B55:B60)</f>
        <v>6.5500000000000003E-2</v>
      </c>
      <c r="C61" s="235">
        <f>SUM(C55:C60)</f>
        <v>175.50593999999998</v>
      </c>
      <c r="D61" s="235">
        <f>SUM(D55:D60)</f>
        <v>175.50593999999998</v>
      </c>
    </row>
    <row r="62" spans="1:64" ht="15.75" customHeight="1" x14ac:dyDescent="0.2">
      <c r="A62" s="271"/>
      <c r="B62" s="238"/>
      <c r="C62" s="238"/>
      <c r="D62" s="238"/>
    </row>
    <row r="63" spans="1:64" ht="16.149999999999999" customHeight="1" x14ac:dyDescent="0.2">
      <c r="A63" s="647" t="s">
        <v>200</v>
      </c>
      <c r="B63" s="647"/>
      <c r="C63" s="647"/>
      <c r="D63" s="647"/>
    </row>
    <row r="64" spans="1:64" ht="15.75" customHeight="1" x14ac:dyDescent="0.2">
      <c r="A64" s="278" t="s">
        <v>201</v>
      </c>
      <c r="B64" s="240" t="s">
        <v>167</v>
      </c>
      <c r="C64" s="279" t="s">
        <v>156</v>
      </c>
      <c r="D64" s="279" t="s">
        <v>156</v>
      </c>
    </row>
    <row r="65" spans="1:64" ht="15.95" customHeight="1" x14ac:dyDescent="0.2">
      <c r="A65" s="224" t="s">
        <v>202</v>
      </c>
      <c r="B65" s="244">
        <f>1/12</f>
        <v>8.3333333333333329E-2</v>
      </c>
      <c r="C65" s="251">
        <f t="shared" ref="C65:D68" si="2">(C$22+(C$51-C$40-C$41)+C$61)*$B65</f>
        <v>373.42990611111105</v>
      </c>
      <c r="D65" s="251">
        <f t="shared" si="2"/>
        <v>373.42990611111105</v>
      </c>
      <c r="E65" s="252"/>
      <c r="F65" s="252"/>
      <c r="G65" s="252"/>
      <c r="H65" s="252"/>
      <c r="I65" s="252"/>
      <c r="J65" s="252"/>
      <c r="K65" s="252"/>
      <c r="L65" s="252"/>
      <c r="M65" s="252"/>
      <c r="N65" s="252"/>
      <c r="O65" s="252"/>
      <c r="P65" s="252"/>
      <c r="Q65" s="252"/>
      <c r="R65" s="252"/>
      <c r="S65" s="252"/>
      <c r="T65" s="252"/>
      <c r="U65" s="252"/>
      <c r="V65" s="252"/>
      <c r="W65" s="252"/>
      <c r="X65" s="252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  <c r="BI65" s="253"/>
      <c r="BJ65" s="253"/>
      <c r="BK65" s="253"/>
      <c r="BL65" s="253"/>
    </row>
    <row r="66" spans="1:64" ht="15.75" customHeight="1" x14ac:dyDescent="0.2">
      <c r="A66" s="224" t="s">
        <v>203</v>
      </c>
      <c r="B66" s="244">
        <f>4.8616/30/12</f>
        <v>1.3504444444444444E-2</v>
      </c>
      <c r="C66" s="251">
        <f t="shared" si="2"/>
        <v>60.515561051659247</v>
      </c>
      <c r="D66" s="251">
        <f t="shared" si="2"/>
        <v>60.515561051659247</v>
      </c>
      <c r="E66" s="252"/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52"/>
      <c r="S66" s="252"/>
      <c r="T66" s="252"/>
      <c r="U66" s="252"/>
      <c r="V66" s="252"/>
      <c r="W66" s="252"/>
      <c r="X66" s="252"/>
      <c r="Y66" s="253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253"/>
      <c r="AL66" s="253"/>
      <c r="AM66" s="253"/>
      <c r="AN66" s="253"/>
      <c r="AO66" s="253"/>
      <c r="AP66" s="253"/>
      <c r="AQ66" s="253"/>
      <c r="AR66" s="253"/>
      <c r="AS66" s="253"/>
      <c r="AT66" s="253"/>
      <c r="AU66" s="253"/>
      <c r="AV66" s="253"/>
      <c r="AW66" s="253"/>
      <c r="AX66" s="253"/>
      <c r="AY66" s="253"/>
      <c r="AZ66" s="253"/>
      <c r="BA66" s="253"/>
      <c r="BB66" s="253"/>
      <c r="BC66" s="253"/>
      <c r="BD66" s="253"/>
      <c r="BE66" s="253"/>
      <c r="BF66" s="253"/>
      <c r="BG66" s="253"/>
      <c r="BH66" s="253"/>
      <c r="BI66" s="253"/>
      <c r="BJ66" s="253"/>
      <c r="BK66" s="253"/>
      <c r="BL66" s="253"/>
    </row>
    <row r="67" spans="1:64" ht="15.75" customHeight="1" x14ac:dyDescent="0.2">
      <c r="A67" s="224" t="s">
        <v>204</v>
      </c>
      <c r="B67" s="244">
        <f>5/30/12*0.015*0.8988</f>
        <v>1.8725E-4</v>
      </c>
      <c r="C67" s="251">
        <f t="shared" si="2"/>
        <v>0.83909699903166657</v>
      </c>
      <c r="D67" s="251">
        <f t="shared" si="2"/>
        <v>0.83909699903166657</v>
      </c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52"/>
      <c r="S67" s="252"/>
      <c r="T67" s="252"/>
      <c r="U67" s="252"/>
      <c r="V67" s="252"/>
      <c r="W67" s="252"/>
      <c r="X67" s="252"/>
      <c r="Y67" s="253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3"/>
      <c r="AO67" s="253"/>
      <c r="AP67" s="253"/>
      <c r="AQ67" s="253"/>
      <c r="AR67" s="253"/>
      <c r="AS67" s="253"/>
      <c r="AT67" s="253"/>
      <c r="AU67" s="253"/>
      <c r="AV67" s="253"/>
      <c r="AW67" s="253"/>
      <c r="AX67" s="253"/>
      <c r="AY67" s="253"/>
      <c r="AZ67" s="253"/>
      <c r="BA67" s="253"/>
      <c r="BB67" s="253"/>
      <c r="BC67" s="253"/>
      <c r="BD67" s="253"/>
      <c r="BE67" s="253"/>
      <c r="BF67" s="253"/>
      <c r="BG67" s="253"/>
      <c r="BH67" s="253"/>
      <c r="BI67" s="253"/>
      <c r="BJ67" s="253"/>
      <c r="BK67" s="253"/>
      <c r="BL67" s="253"/>
    </row>
    <row r="68" spans="1:64" ht="15.75" customHeight="1" x14ac:dyDescent="0.2">
      <c r="A68" s="224" t="s">
        <v>205</v>
      </c>
      <c r="B68" s="244">
        <f>0.9659/30/12</f>
        <v>2.6830555555555553E-3</v>
      </c>
      <c r="C68" s="251">
        <f t="shared" si="2"/>
        <v>12.023198210424072</v>
      </c>
      <c r="D68" s="251">
        <f t="shared" si="2"/>
        <v>12.023198210424072</v>
      </c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52"/>
      <c r="R68" s="252"/>
      <c r="S68" s="252"/>
      <c r="T68" s="252"/>
      <c r="U68" s="252"/>
      <c r="V68" s="252"/>
      <c r="W68" s="252"/>
      <c r="X68" s="252"/>
      <c r="Y68" s="253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3"/>
      <c r="BC68" s="253"/>
      <c r="BD68" s="253"/>
      <c r="BE68" s="253"/>
      <c r="BF68" s="253"/>
      <c r="BG68" s="253"/>
      <c r="BH68" s="253"/>
      <c r="BI68" s="253"/>
      <c r="BJ68" s="253"/>
      <c r="BK68" s="253"/>
      <c r="BL68" s="253"/>
    </row>
    <row r="69" spans="1:64" ht="15.75" customHeight="1" x14ac:dyDescent="0.2">
      <c r="A69" s="224" t="s">
        <v>163</v>
      </c>
      <c r="B69" s="244">
        <v>0</v>
      </c>
      <c r="C69" s="251">
        <f>(C$22+(C$52-C$41-C$42)+C$62)*$B69</f>
        <v>0</v>
      </c>
      <c r="D69" s="251">
        <f>(D$22+(D$52-D$41-D$42)+D$62)*$B69</f>
        <v>0</v>
      </c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3"/>
      <c r="Z69" s="253"/>
      <c r="AA69" s="253"/>
      <c r="AB69" s="253"/>
      <c r="AC69" s="253"/>
      <c r="AD69" s="253"/>
      <c r="AE69" s="253"/>
      <c r="AF69" s="253"/>
      <c r="AG69" s="253"/>
      <c r="AH69" s="253"/>
      <c r="AI69" s="253"/>
      <c r="AJ69" s="253"/>
      <c r="AK69" s="253"/>
      <c r="AL69" s="253"/>
      <c r="AM69" s="253"/>
      <c r="AN69" s="253"/>
      <c r="AO69" s="253"/>
      <c r="AP69" s="253"/>
      <c r="AQ69" s="253"/>
      <c r="AR69" s="253"/>
      <c r="AS69" s="253"/>
      <c r="AT69" s="253"/>
      <c r="AU69" s="253"/>
      <c r="AV69" s="253"/>
      <c r="AW69" s="253"/>
      <c r="AX69" s="253"/>
      <c r="AY69" s="253"/>
      <c r="AZ69" s="253"/>
      <c r="BA69" s="253"/>
      <c r="BB69" s="253"/>
      <c r="BC69" s="253"/>
      <c r="BD69" s="253"/>
      <c r="BE69" s="253"/>
      <c r="BF69" s="253"/>
      <c r="BG69" s="253"/>
      <c r="BH69" s="253"/>
      <c r="BI69" s="253"/>
      <c r="BJ69" s="253"/>
      <c r="BK69" s="253"/>
      <c r="BL69" s="253"/>
    </row>
    <row r="70" spans="1:64" ht="15.75" customHeight="1" x14ac:dyDescent="0.2">
      <c r="A70" s="246" t="s">
        <v>170</v>
      </c>
      <c r="B70" s="247">
        <f>SUM(B65:B69)</f>
        <v>9.9708083333333322E-2</v>
      </c>
      <c r="C70" s="255">
        <f>SUM(C65:C69)</f>
        <v>446.80776237222602</v>
      </c>
      <c r="D70" s="255">
        <f>SUM(D65:D69)</f>
        <v>446.80776237222602</v>
      </c>
    </row>
    <row r="71" spans="1:64" ht="15.75" customHeight="1" x14ac:dyDescent="0.2">
      <c r="A71" s="278" t="s">
        <v>206</v>
      </c>
      <c r="B71" s="316"/>
      <c r="C71" s="279" t="s">
        <v>156</v>
      </c>
      <c r="D71" s="279" t="s">
        <v>156</v>
      </c>
    </row>
    <row r="72" spans="1:64" ht="15.75" customHeight="1" x14ac:dyDescent="0.2">
      <c r="A72" s="230" t="s">
        <v>207</v>
      </c>
      <c r="B72" s="281">
        <v>0</v>
      </c>
      <c r="C72" s="282"/>
      <c r="D72" s="282"/>
      <c r="E72" s="252"/>
      <c r="F72" s="252"/>
      <c r="G72" s="252"/>
      <c r="H72" s="252"/>
      <c r="I72" s="252"/>
      <c r="J72" s="252"/>
      <c r="K72" s="252"/>
      <c r="L72" s="252"/>
      <c r="M72" s="252"/>
      <c r="N72" s="252"/>
      <c r="O72" s="252"/>
      <c r="P72" s="252"/>
      <c r="Q72" s="252"/>
      <c r="R72" s="252"/>
      <c r="S72" s="252"/>
      <c r="T72" s="252"/>
      <c r="U72" s="252"/>
      <c r="V72" s="252"/>
      <c r="W72" s="252"/>
      <c r="X72" s="252"/>
      <c r="Y72" s="253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  <c r="BI72" s="253"/>
      <c r="BJ72" s="253"/>
      <c r="BK72" s="253"/>
      <c r="BL72" s="253"/>
    </row>
    <row r="73" spans="1:64" ht="15.75" customHeight="1" x14ac:dyDescent="0.2">
      <c r="A73" s="246" t="s">
        <v>170</v>
      </c>
      <c r="B73" s="247">
        <v>0</v>
      </c>
      <c r="C73" s="255"/>
      <c r="D73" s="255"/>
    </row>
    <row r="74" spans="1:64" ht="15.75" customHeight="1" x14ac:dyDescent="0.2">
      <c r="A74" s="278" t="s">
        <v>208</v>
      </c>
      <c r="B74" s="316"/>
      <c r="C74" s="279" t="s">
        <v>156</v>
      </c>
      <c r="D74" s="279" t="s">
        <v>156</v>
      </c>
    </row>
    <row r="75" spans="1:64" ht="15.75" customHeight="1" x14ac:dyDescent="0.2">
      <c r="A75" s="224" t="s">
        <v>209</v>
      </c>
      <c r="B75" s="254">
        <f>(120/30)*0.1012*0.0032</f>
        <v>1.29536E-3</v>
      </c>
      <c r="C75" s="251">
        <f>(C$22+C$51+C$61)*$B75</f>
        <v>6.512497625873066</v>
      </c>
      <c r="D75" s="251">
        <f>(D$22+D$51+D$61)*$B75</f>
        <v>6.512497625873066</v>
      </c>
    </row>
    <row r="76" spans="1:64" ht="15.75" customHeight="1" x14ac:dyDescent="0.2">
      <c r="A76" s="246" t="s">
        <v>164</v>
      </c>
      <c r="B76" s="247">
        <f>B75</f>
        <v>1.29536E-3</v>
      </c>
      <c r="C76" s="255">
        <f>C75</f>
        <v>6.512497625873066</v>
      </c>
      <c r="D76" s="255">
        <f>D75</f>
        <v>6.512497625873066</v>
      </c>
    </row>
    <row r="77" spans="1:64" ht="15.75" customHeight="1" x14ac:dyDescent="0.2">
      <c r="A77" s="278" t="s">
        <v>210</v>
      </c>
      <c r="B77" s="316"/>
      <c r="C77" s="279" t="s">
        <v>156</v>
      </c>
      <c r="D77" s="279" t="s">
        <v>156</v>
      </c>
    </row>
    <row r="78" spans="1:64" ht="15.75" customHeight="1" x14ac:dyDescent="0.2">
      <c r="A78" s="224" t="s">
        <v>211</v>
      </c>
      <c r="B78" s="254">
        <v>0</v>
      </c>
      <c r="C78" s="251"/>
      <c r="D78" s="251"/>
    </row>
    <row r="79" spans="1:64" ht="15.75" customHeight="1" x14ac:dyDescent="0.2">
      <c r="A79" s="246" t="s">
        <v>164</v>
      </c>
      <c r="B79" s="247">
        <f>B78</f>
        <v>0</v>
      </c>
      <c r="C79" s="255">
        <f>C78</f>
        <v>0</v>
      </c>
      <c r="D79" s="255">
        <f>D78</f>
        <v>0</v>
      </c>
    </row>
    <row r="80" spans="1:64" ht="15.75" customHeight="1" x14ac:dyDescent="0.2">
      <c r="A80" s="283" t="s">
        <v>212</v>
      </c>
      <c r="B80" s="223" t="s">
        <v>155</v>
      </c>
      <c r="C80" s="284" t="s">
        <v>156</v>
      </c>
      <c r="D80" s="284" t="s">
        <v>156</v>
      </c>
    </row>
    <row r="81" spans="1:64" ht="15.75" customHeight="1" x14ac:dyDescent="0.2">
      <c r="A81" s="285" t="s">
        <v>213</v>
      </c>
      <c r="B81" s="286">
        <f>B70</f>
        <v>9.9708083333333322E-2</v>
      </c>
      <c r="C81" s="243">
        <f>C70</f>
        <v>446.80776237222602</v>
      </c>
      <c r="D81" s="243">
        <f>D70</f>
        <v>446.80776237222602</v>
      </c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  <c r="Q81" s="252"/>
      <c r="R81" s="252"/>
      <c r="S81" s="252"/>
      <c r="T81" s="252"/>
      <c r="U81" s="252"/>
      <c r="V81" s="252"/>
      <c r="W81" s="252"/>
      <c r="X81" s="252"/>
      <c r="Y81" s="253"/>
      <c r="Z81" s="253"/>
      <c r="AA81" s="253"/>
      <c r="AB81" s="253"/>
      <c r="AC81" s="253"/>
      <c r="AD81" s="253"/>
      <c r="AE81" s="253"/>
      <c r="AF81" s="253"/>
      <c r="AG81" s="253"/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  <c r="BI81" s="253"/>
      <c r="BJ81" s="253"/>
      <c r="BK81" s="253"/>
      <c r="BL81" s="253"/>
    </row>
    <row r="82" spans="1:64" ht="15.75" customHeight="1" x14ac:dyDescent="0.2">
      <c r="A82" s="287" t="s">
        <v>214</v>
      </c>
      <c r="B82" s="286">
        <f>B73</f>
        <v>0</v>
      </c>
      <c r="C82" s="245">
        <f>C73</f>
        <v>0</v>
      </c>
      <c r="D82" s="245">
        <f>D73</f>
        <v>0</v>
      </c>
      <c r="E82" s="252"/>
      <c r="F82" s="252"/>
      <c r="G82" s="252"/>
      <c r="H82" s="252"/>
      <c r="I82" s="252"/>
      <c r="J82" s="252"/>
      <c r="K82" s="252"/>
      <c r="L82" s="252"/>
      <c r="M82" s="252"/>
      <c r="N82" s="252"/>
      <c r="O82" s="252"/>
      <c r="P82" s="252"/>
      <c r="Q82" s="252"/>
      <c r="R82" s="252"/>
      <c r="S82" s="252"/>
      <c r="T82" s="252"/>
      <c r="U82" s="252"/>
      <c r="V82" s="252"/>
      <c r="W82" s="252"/>
      <c r="X82" s="252"/>
      <c r="Y82" s="253"/>
      <c r="Z82" s="253"/>
      <c r="AA82" s="253"/>
      <c r="AB82" s="253"/>
      <c r="AC82" s="253"/>
      <c r="AD82" s="253"/>
      <c r="AE82" s="253"/>
      <c r="AF82" s="253"/>
      <c r="AG82" s="253"/>
      <c r="AH82" s="253"/>
      <c r="AI82" s="253"/>
      <c r="AJ82" s="253"/>
      <c r="AK82" s="253"/>
      <c r="AL82" s="253"/>
      <c r="AM82" s="253"/>
      <c r="AN82" s="253"/>
      <c r="AO82" s="253"/>
      <c r="AP82" s="253"/>
      <c r="AQ82" s="253"/>
      <c r="AR82" s="253"/>
      <c r="AS82" s="253"/>
      <c r="AT82" s="253"/>
      <c r="AU82" s="253"/>
      <c r="AV82" s="253"/>
      <c r="AW82" s="253"/>
      <c r="AX82" s="253"/>
      <c r="AY82" s="253"/>
      <c r="AZ82" s="253"/>
      <c r="BA82" s="253"/>
      <c r="BB82" s="253"/>
      <c r="BC82" s="253"/>
      <c r="BD82" s="253"/>
      <c r="BE82" s="253"/>
      <c r="BF82" s="253"/>
      <c r="BG82" s="253"/>
      <c r="BH82" s="253"/>
      <c r="BI82" s="253"/>
      <c r="BJ82" s="253"/>
      <c r="BK82" s="253"/>
      <c r="BL82" s="253"/>
    </row>
    <row r="83" spans="1:64" ht="15.75" customHeight="1" x14ac:dyDescent="0.2">
      <c r="A83" s="287" t="s">
        <v>215</v>
      </c>
      <c r="B83" s="286">
        <f>B76</f>
        <v>1.29536E-3</v>
      </c>
      <c r="C83" s="245">
        <f>C76</f>
        <v>6.512497625873066</v>
      </c>
      <c r="D83" s="245">
        <f>D76</f>
        <v>6.512497625873066</v>
      </c>
      <c r="E83" s="252"/>
      <c r="F83" s="252"/>
      <c r="G83" s="252"/>
      <c r="H83" s="252"/>
      <c r="I83" s="252"/>
      <c r="J83" s="252"/>
      <c r="K83" s="252"/>
      <c r="L83" s="252"/>
      <c r="M83" s="252"/>
      <c r="N83" s="252"/>
      <c r="O83" s="252"/>
      <c r="P83" s="252"/>
      <c r="Q83" s="252"/>
      <c r="R83" s="252"/>
      <c r="S83" s="252"/>
      <c r="T83" s="252"/>
      <c r="U83" s="252"/>
      <c r="V83" s="252"/>
      <c r="W83" s="252"/>
      <c r="X83" s="252"/>
      <c r="Y83" s="253"/>
      <c r="Z83" s="253"/>
      <c r="AA83" s="253"/>
      <c r="AB83" s="253"/>
      <c r="AC83" s="253"/>
      <c r="AD83" s="253"/>
      <c r="AE83" s="253"/>
      <c r="AF83" s="253"/>
      <c r="AG83" s="253"/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  <c r="BI83" s="253"/>
      <c r="BJ83" s="253"/>
      <c r="BK83" s="253"/>
      <c r="BL83" s="253"/>
    </row>
    <row r="84" spans="1:64" ht="15.75" customHeight="1" x14ac:dyDescent="0.2">
      <c r="A84" s="287" t="s">
        <v>216</v>
      </c>
      <c r="B84" s="286">
        <f>B79</f>
        <v>0</v>
      </c>
      <c r="C84" s="245">
        <f>C79</f>
        <v>0</v>
      </c>
      <c r="D84" s="245">
        <f>D79</f>
        <v>0</v>
      </c>
      <c r="E84" s="252"/>
      <c r="F84" s="252"/>
      <c r="G84" s="252"/>
      <c r="H84" s="252"/>
      <c r="I84" s="252"/>
      <c r="J84" s="252"/>
      <c r="K84" s="252"/>
      <c r="L84" s="252"/>
      <c r="M84" s="252"/>
      <c r="N84" s="252"/>
      <c r="O84" s="252"/>
      <c r="P84" s="252"/>
      <c r="Q84" s="252"/>
      <c r="R84" s="252"/>
      <c r="S84" s="252"/>
      <c r="T84" s="252"/>
      <c r="U84" s="252"/>
      <c r="V84" s="252"/>
      <c r="W84" s="252"/>
      <c r="X84" s="252"/>
      <c r="Y84" s="253"/>
      <c r="Z84" s="253"/>
      <c r="AA84" s="253"/>
      <c r="AB84" s="253"/>
      <c r="AC84" s="253"/>
      <c r="AD84" s="253"/>
      <c r="AE84" s="253"/>
      <c r="AF84" s="253"/>
      <c r="AG84" s="253"/>
      <c r="AH84" s="253"/>
      <c r="AI84" s="253"/>
      <c r="AJ84" s="253"/>
      <c r="AK84" s="253"/>
      <c r="AL84" s="253"/>
      <c r="AM84" s="253"/>
      <c r="AN84" s="253"/>
      <c r="AO84" s="253"/>
      <c r="AP84" s="253"/>
      <c r="AQ84" s="253"/>
      <c r="AR84" s="253"/>
      <c r="AS84" s="253"/>
      <c r="AT84" s="253"/>
      <c r="AU84" s="253"/>
      <c r="AV84" s="253"/>
      <c r="AW84" s="253"/>
      <c r="AX84" s="253"/>
      <c r="AY84" s="253"/>
      <c r="AZ84" s="253"/>
      <c r="BA84" s="253"/>
      <c r="BB84" s="253"/>
      <c r="BC84" s="253"/>
      <c r="BD84" s="253"/>
      <c r="BE84" s="253"/>
      <c r="BF84" s="253"/>
      <c r="BG84" s="253"/>
      <c r="BH84" s="253"/>
      <c r="BI84" s="253"/>
      <c r="BJ84" s="253"/>
      <c r="BK84" s="253"/>
      <c r="BL84" s="253"/>
    </row>
    <row r="85" spans="1:64" ht="15.75" customHeight="1" x14ac:dyDescent="0.2">
      <c r="A85" s="233" t="s">
        <v>164</v>
      </c>
      <c r="B85" s="277"/>
      <c r="C85" s="235">
        <f>SUM(C81:C84)</f>
        <v>453.32025999809906</v>
      </c>
      <c r="D85" s="235">
        <f>SUM(D81:D84)</f>
        <v>453.32025999809906</v>
      </c>
    </row>
    <row r="86" spans="1:64" ht="15.75" customHeight="1" x14ac:dyDescent="0.2">
      <c r="A86" s="271"/>
      <c r="B86" s="288"/>
      <c r="C86" s="238"/>
      <c r="D86" s="238"/>
    </row>
    <row r="87" spans="1:64" ht="16.5" customHeight="1" x14ac:dyDescent="0.2">
      <c r="A87" s="647" t="s">
        <v>217</v>
      </c>
      <c r="B87" s="647"/>
      <c r="C87" s="647"/>
      <c r="D87" s="647"/>
    </row>
    <row r="88" spans="1:64" ht="15.75" customHeight="1" x14ac:dyDescent="0.2">
      <c r="A88" s="289" t="s">
        <v>218</v>
      </c>
      <c r="B88" s="223" t="s">
        <v>181</v>
      </c>
      <c r="C88" s="284" t="s">
        <v>156</v>
      </c>
      <c r="D88" s="284" t="s">
        <v>156</v>
      </c>
    </row>
    <row r="89" spans="1:64" ht="15.75" customHeight="1" x14ac:dyDescent="0.25">
      <c r="A89" s="285" t="s">
        <v>219</v>
      </c>
      <c r="B89" s="290">
        <f>'VT, Uniforme e Plano Celular'!E51</f>
        <v>35.28</v>
      </c>
      <c r="C89" s="259">
        <f t="shared" ref="C89:D92" si="3">$B89</f>
        <v>35.28</v>
      </c>
      <c r="D89" s="259">
        <f t="shared" si="3"/>
        <v>35.28</v>
      </c>
    </row>
    <row r="90" spans="1:64" ht="15.75" customHeight="1" x14ac:dyDescent="0.25">
      <c r="A90" s="287" t="s">
        <v>220</v>
      </c>
      <c r="B90" s="291"/>
      <c r="C90" s="292">
        <f t="shared" si="3"/>
        <v>0</v>
      </c>
      <c r="D90" s="292">
        <f t="shared" si="3"/>
        <v>0</v>
      </c>
    </row>
    <row r="91" spans="1:64" ht="15.75" customHeight="1" x14ac:dyDescent="0.25">
      <c r="A91" s="287" t="s">
        <v>221</v>
      </c>
      <c r="B91" s="291"/>
      <c r="C91" s="292">
        <f t="shared" si="3"/>
        <v>0</v>
      </c>
      <c r="D91" s="292">
        <f t="shared" si="3"/>
        <v>0</v>
      </c>
    </row>
    <row r="92" spans="1:64" ht="15.75" customHeight="1" x14ac:dyDescent="0.25">
      <c r="A92" s="287" t="s">
        <v>222</v>
      </c>
      <c r="B92" s="291"/>
      <c r="C92" s="292">
        <f t="shared" si="3"/>
        <v>0</v>
      </c>
      <c r="D92" s="292">
        <f t="shared" si="3"/>
        <v>0</v>
      </c>
    </row>
    <row r="93" spans="1:64" ht="15.75" customHeight="1" x14ac:dyDescent="0.25">
      <c r="A93" s="293" t="s">
        <v>223</v>
      </c>
      <c r="B93" s="294">
        <f>'VT, Uniforme e Plano Celular'!D56</f>
        <v>58.62</v>
      </c>
      <c r="C93" s="292">
        <f>B93</f>
        <v>58.62</v>
      </c>
      <c r="D93" s="292">
        <f>B93</f>
        <v>58.62</v>
      </c>
    </row>
    <row r="94" spans="1:64" ht="15.75" customHeight="1" x14ac:dyDescent="0.2">
      <c r="A94" s="295" t="s">
        <v>164</v>
      </c>
      <c r="B94" s="296"/>
      <c r="C94" s="235">
        <f>SUM(C89:C93)</f>
        <v>93.9</v>
      </c>
      <c r="D94" s="235">
        <f>SUM(D89:D93)</f>
        <v>93.9</v>
      </c>
    </row>
    <row r="95" spans="1:64" ht="15.75" customHeight="1" x14ac:dyDescent="0.2">
      <c r="A95" s="271"/>
      <c r="B95" s="288"/>
      <c r="C95" s="238"/>
      <c r="D95" s="238"/>
    </row>
    <row r="96" spans="1:64" ht="16.5" customHeight="1" x14ac:dyDescent="0.2">
      <c r="A96" s="647" t="s">
        <v>224</v>
      </c>
      <c r="B96" s="647"/>
      <c r="C96" s="647"/>
      <c r="D96" s="647"/>
    </row>
    <row r="97" spans="1:64" ht="15.75" customHeight="1" thickBot="1" x14ac:dyDescent="0.25">
      <c r="A97" s="221" t="s">
        <v>225</v>
      </c>
      <c r="B97" s="223" t="s">
        <v>167</v>
      </c>
      <c r="C97" s="284" t="s">
        <v>156</v>
      </c>
      <c r="D97" s="284" t="s">
        <v>156</v>
      </c>
    </row>
    <row r="98" spans="1:64" ht="15.75" customHeight="1" thickTop="1" x14ac:dyDescent="0.2">
      <c r="A98" s="224" t="s">
        <v>226</v>
      </c>
      <c r="B98" s="317">
        <v>0.05</v>
      </c>
      <c r="C98" s="298">
        <f>(C$22+C$51+C$61+C$85+C$94)*$B98</f>
        <v>278.73891666657158</v>
      </c>
      <c r="D98" s="298">
        <f>(D$22+D$51+D$61+D$85+D$94)*$B98</f>
        <v>278.73891666657158</v>
      </c>
    </row>
    <row r="99" spans="1:64" ht="15.75" customHeight="1" x14ac:dyDescent="0.2">
      <c r="A99" s="224" t="s">
        <v>227</v>
      </c>
      <c r="B99" s="317">
        <v>0.1</v>
      </c>
      <c r="C99" s="299">
        <f>(C$22+C$51+C$61+C$85+C$94+C$98)*$B99</f>
        <v>585.35172499980024</v>
      </c>
      <c r="D99" s="299">
        <f>(D$22+D$51+D$61+D$85+D$94+D$98)*$B99</f>
        <v>585.35172499980024</v>
      </c>
    </row>
    <row r="100" spans="1:64" ht="15.75" customHeight="1" x14ac:dyDescent="0.2">
      <c r="A100" s="300" t="s">
        <v>250</v>
      </c>
      <c r="B100" s="301">
        <f>B101+B102</f>
        <v>7.6499999999999999E-2</v>
      </c>
      <c r="C100" s="302">
        <f>((C$22+C$51+C$61+C$85+C$94+C$98+C$99)/(1-($B100)))*$B100</f>
        <v>533.37680193538915</v>
      </c>
      <c r="D100" s="302">
        <f>((D$22+D$51+D$61+D$85+D$94+D$98+D$99)/(1-($B100)))*$B100</f>
        <v>533.37680193538915</v>
      </c>
    </row>
    <row r="101" spans="1:64" ht="15.75" customHeight="1" x14ac:dyDescent="0.2">
      <c r="A101" s="303" t="s">
        <v>229</v>
      </c>
      <c r="B101" s="297">
        <v>3.6499999999999998E-2</v>
      </c>
      <c r="C101" s="299">
        <f>((C$22+C$51+C$61+C$85+C$94+C$98+C$99)/(1-($B$100)))*$B101</f>
        <v>254.48697085806151</v>
      </c>
      <c r="D101" s="299">
        <f>((D$22+D$51+D$61+D$85+D$94+D$98+D$99)/(1-($B$100)))*$B101</f>
        <v>254.48697085806151</v>
      </c>
    </row>
    <row r="102" spans="1:64" ht="15.75" customHeight="1" x14ac:dyDescent="0.2">
      <c r="A102" s="303" t="s">
        <v>230</v>
      </c>
      <c r="B102" s="275">
        <v>0.04</v>
      </c>
      <c r="C102" s="299">
        <f>((C$22+C$51+C$61+C$85+C$94+C$98+C$99)/(1-($B$100)))*$B102</f>
        <v>278.8898310773277</v>
      </c>
      <c r="D102" s="299">
        <f>((D$22+D$51+D$61+D$85+D$94+D$98+D$99)/(1-($B$100)))*$B102</f>
        <v>278.8898310773277</v>
      </c>
    </row>
    <row r="103" spans="1:64" s="203" customFormat="1" ht="15.75" customHeight="1" x14ac:dyDescent="0.2">
      <c r="A103" s="311" t="s">
        <v>232</v>
      </c>
      <c r="B103" s="304">
        <v>0.04</v>
      </c>
      <c r="C103" s="235">
        <f>SUM(C98:C100)</f>
        <v>1397.4674436017608</v>
      </c>
      <c r="D103" s="235">
        <f>SUM(D98:D100)</f>
        <v>1397.4674436017608</v>
      </c>
      <c r="Y103" s="204"/>
      <c r="Z103" s="204"/>
      <c r="AA103" s="204"/>
      <c r="AB103" s="204"/>
      <c r="AC103" s="204"/>
      <c r="AD103" s="204"/>
      <c r="AE103" s="204"/>
      <c r="AF103" s="204"/>
      <c r="AG103" s="204"/>
      <c r="AH103" s="204"/>
      <c r="AI103" s="204"/>
      <c r="AJ103" s="204"/>
      <c r="AK103" s="204"/>
      <c r="AL103" s="204"/>
      <c r="AM103" s="204"/>
      <c r="AN103" s="204"/>
      <c r="AO103" s="204"/>
      <c r="AP103" s="204"/>
      <c r="AQ103" s="204"/>
      <c r="AR103" s="204"/>
      <c r="AS103" s="204"/>
      <c r="AT103" s="204"/>
      <c r="AU103" s="204"/>
      <c r="AV103" s="204"/>
      <c r="AW103" s="204"/>
      <c r="AX103" s="204"/>
      <c r="AY103" s="204"/>
      <c r="AZ103" s="204"/>
      <c r="BA103" s="204"/>
      <c r="BB103" s="204"/>
      <c r="BC103" s="204"/>
      <c r="BD103" s="204"/>
      <c r="BE103" s="204"/>
      <c r="BF103" s="204"/>
      <c r="BG103" s="204"/>
      <c r="BH103" s="204"/>
      <c r="BI103" s="204"/>
      <c r="BJ103" s="204"/>
      <c r="BK103" s="204"/>
      <c r="BL103" s="204"/>
    </row>
    <row r="104" spans="1:64" s="203" customFormat="1" ht="26.45" customHeight="1" x14ac:dyDescent="0.2">
      <c r="A104" s="271"/>
      <c r="B104" s="288"/>
      <c r="C104" s="238"/>
      <c r="D104" s="238"/>
      <c r="Y104" s="204"/>
      <c r="Z104" s="204"/>
      <c r="AA104" s="204"/>
      <c r="AB104" s="204"/>
      <c r="AC104" s="204"/>
      <c r="AD104" s="204"/>
      <c r="AE104" s="204"/>
      <c r="AF104" s="204"/>
      <c r="AG104" s="204"/>
      <c r="AH104" s="204"/>
      <c r="AI104" s="204"/>
      <c r="AJ104" s="204"/>
      <c r="AK104" s="204"/>
      <c r="AL104" s="204"/>
      <c r="AM104" s="204"/>
      <c r="AN104" s="204"/>
      <c r="AO104" s="204"/>
      <c r="AP104" s="204"/>
      <c r="AQ104" s="204"/>
      <c r="AR104" s="204"/>
      <c r="AS104" s="204"/>
      <c r="AT104" s="204"/>
      <c r="AU104" s="204"/>
      <c r="AV104" s="204"/>
      <c r="AW104" s="204"/>
      <c r="AX104" s="204"/>
      <c r="AY104" s="204"/>
      <c r="AZ104" s="204"/>
      <c r="BA104" s="204"/>
      <c r="BB104" s="204"/>
      <c r="BC104" s="204"/>
      <c r="BD104" s="204"/>
      <c r="BE104" s="204"/>
      <c r="BF104" s="204"/>
      <c r="BG104" s="204"/>
      <c r="BH104" s="204"/>
      <c r="BI104" s="204"/>
      <c r="BJ104" s="204"/>
      <c r="BK104" s="204"/>
      <c r="BL104" s="204"/>
    </row>
    <row r="105" spans="1:64" s="203" customFormat="1" ht="15" customHeight="1" x14ac:dyDescent="0.2">
      <c r="A105" s="236"/>
      <c r="B105" s="237"/>
      <c r="C105" s="237"/>
      <c r="D105" s="237"/>
      <c r="Y105" s="204"/>
      <c r="Z105" s="204"/>
      <c r="AA105" s="204"/>
      <c r="AB105" s="204"/>
      <c r="AC105" s="204"/>
      <c r="AD105" s="204"/>
      <c r="AE105" s="204"/>
      <c r="AF105" s="204"/>
      <c r="AG105" s="204"/>
      <c r="AH105" s="204"/>
      <c r="AI105" s="204"/>
      <c r="AJ105" s="204"/>
      <c r="AK105" s="204"/>
      <c r="AL105" s="204"/>
      <c r="AM105" s="204"/>
      <c r="AN105" s="204"/>
      <c r="AO105" s="204"/>
      <c r="AP105" s="204"/>
      <c r="AQ105" s="204"/>
      <c r="AR105" s="204"/>
      <c r="AS105" s="204"/>
      <c r="AT105" s="204"/>
      <c r="AU105" s="204"/>
      <c r="AV105" s="204"/>
      <c r="AW105" s="204"/>
      <c r="AX105" s="204"/>
      <c r="AY105" s="204"/>
      <c r="AZ105" s="204"/>
      <c r="BA105" s="204"/>
      <c r="BB105" s="204"/>
      <c r="BC105" s="204"/>
      <c r="BD105" s="204"/>
      <c r="BE105" s="204"/>
      <c r="BF105" s="204"/>
      <c r="BG105" s="204"/>
      <c r="BH105" s="204"/>
      <c r="BI105" s="204"/>
      <c r="BJ105" s="204"/>
      <c r="BK105" s="204"/>
      <c r="BL105" s="204"/>
    </row>
    <row r="106" spans="1:64" s="203" customFormat="1" ht="28.15" customHeight="1" x14ac:dyDescent="0.2">
      <c r="A106" s="658" t="s">
        <v>233</v>
      </c>
      <c r="B106" s="658"/>
      <c r="C106" s="312" t="s">
        <v>234</v>
      </c>
      <c r="D106" s="312" t="s">
        <v>235</v>
      </c>
      <c r="Y106" s="204"/>
      <c r="Z106" s="204"/>
      <c r="AA106" s="204"/>
      <c r="AB106" s="204"/>
      <c r="AC106" s="204"/>
      <c r="AD106" s="204"/>
      <c r="AE106" s="204"/>
      <c r="AF106" s="204"/>
      <c r="AG106" s="204"/>
      <c r="AH106" s="204"/>
      <c r="AI106" s="204"/>
      <c r="AJ106" s="204"/>
      <c r="AK106" s="204"/>
      <c r="AL106" s="204"/>
      <c r="AM106" s="204"/>
      <c r="AN106" s="204"/>
      <c r="AO106" s="204"/>
      <c r="AP106" s="204"/>
      <c r="AQ106" s="204"/>
      <c r="AR106" s="204"/>
      <c r="AS106" s="204"/>
      <c r="AT106" s="204"/>
      <c r="AU106" s="204"/>
      <c r="AV106" s="204"/>
      <c r="AW106" s="204"/>
      <c r="AX106" s="204"/>
      <c r="AY106" s="204"/>
      <c r="AZ106" s="204"/>
      <c r="BA106" s="204"/>
      <c r="BB106" s="204"/>
      <c r="BC106" s="204"/>
      <c r="BD106" s="204"/>
      <c r="BE106" s="204"/>
      <c r="BF106" s="204"/>
      <c r="BG106" s="204"/>
      <c r="BH106" s="204"/>
      <c r="BI106" s="204"/>
      <c r="BJ106" s="204"/>
      <c r="BK106" s="204"/>
      <c r="BL106" s="204"/>
    </row>
    <row r="107" spans="1:64" s="203" customFormat="1" ht="15" customHeight="1" x14ac:dyDescent="0.2">
      <c r="A107" s="659" t="s">
        <v>236</v>
      </c>
      <c r="B107" s="659"/>
      <c r="C107" s="306" t="s">
        <v>156</v>
      </c>
      <c r="D107" s="306" t="s">
        <v>156</v>
      </c>
      <c r="Y107" s="204"/>
      <c r="Z107" s="204"/>
      <c r="AA107" s="204"/>
      <c r="AB107" s="204"/>
      <c r="AC107" s="204"/>
      <c r="AD107" s="204"/>
      <c r="AE107" s="204"/>
      <c r="AF107" s="204"/>
      <c r="AG107" s="204"/>
      <c r="AH107" s="204"/>
      <c r="AI107" s="204"/>
      <c r="AJ107" s="204"/>
      <c r="AK107" s="204"/>
      <c r="AL107" s="204"/>
      <c r="AM107" s="204"/>
      <c r="AN107" s="204"/>
      <c r="AO107" s="204"/>
      <c r="AP107" s="204"/>
      <c r="AQ107" s="204"/>
      <c r="AR107" s="204"/>
      <c r="AS107" s="204"/>
      <c r="AT107" s="204"/>
      <c r="AU107" s="204"/>
      <c r="AV107" s="204"/>
      <c r="AW107" s="204"/>
      <c r="AX107" s="204"/>
      <c r="AY107" s="204"/>
      <c r="AZ107" s="204"/>
      <c r="BA107" s="204"/>
      <c r="BB107" s="204"/>
      <c r="BC107" s="204"/>
      <c r="BD107" s="204"/>
      <c r="BE107" s="204"/>
      <c r="BF107" s="204"/>
      <c r="BG107" s="204"/>
      <c r="BH107" s="204"/>
      <c r="BI107" s="204"/>
      <c r="BJ107" s="204"/>
      <c r="BK107" s="204"/>
      <c r="BL107" s="204"/>
    </row>
    <row r="108" spans="1:64" s="203" customFormat="1" ht="15" customHeight="1" x14ac:dyDescent="0.2">
      <c r="A108" s="656" t="s">
        <v>237</v>
      </c>
      <c r="B108" s="656"/>
      <c r="C108" s="307">
        <f>C22</f>
        <v>2679.48</v>
      </c>
      <c r="D108" s="307">
        <f>D22</f>
        <v>2679.48</v>
      </c>
      <c r="Y108" s="204"/>
      <c r="Z108" s="204"/>
      <c r="AA108" s="204"/>
      <c r="AB108" s="204"/>
      <c r="AC108" s="204"/>
      <c r="AD108" s="204"/>
      <c r="AE108" s="204"/>
      <c r="AF108" s="204"/>
      <c r="AG108" s="204"/>
      <c r="AH108" s="204"/>
      <c r="AI108" s="204"/>
      <c r="AJ108" s="204"/>
      <c r="AK108" s="204"/>
      <c r="AL108" s="204"/>
      <c r="AM108" s="204"/>
      <c r="AN108" s="204"/>
      <c r="AO108" s="204"/>
      <c r="AP108" s="204"/>
      <c r="AQ108" s="204"/>
      <c r="AR108" s="204"/>
      <c r="AS108" s="204"/>
      <c r="AT108" s="204"/>
      <c r="AU108" s="204"/>
      <c r="AV108" s="204"/>
      <c r="AW108" s="204"/>
      <c r="AX108" s="204"/>
      <c r="AY108" s="204"/>
      <c r="AZ108" s="204"/>
      <c r="BA108" s="204"/>
      <c r="BB108" s="204"/>
      <c r="BC108" s="204"/>
      <c r="BD108" s="204"/>
      <c r="BE108" s="204"/>
      <c r="BF108" s="204"/>
      <c r="BG108" s="204"/>
      <c r="BH108" s="204"/>
      <c r="BI108" s="204"/>
      <c r="BJ108" s="204"/>
      <c r="BK108" s="204"/>
      <c r="BL108" s="204"/>
    </row>
    <row r="109" spans="1:64" s="203" customFormat="1" ht="15" customHeight="1" x14ac:dyDescent="0.2">
      <c r="A109" s="656" t="s">
        <v>238</v>
      </c>
      <c r="B109" s="656"/>
      <c r="C109" s="307">
        <f>C51</f>
        <v>2172.5721333333331</v>
      </c>
      <c r="D109" s="307">
        <f>D51</f>
        <v>2172.5721333333331</v>
      </c>
      <c r="Y109" s="204"/>
      <c r="Z109" s="204"/>
      <c r="AA109" s="204"/>
      <c r="AB109" s="204"/>
      <c r="AC109" s="204"/>
      <c r="AD109" s="204"/>
      <c r="AE109" s="204"/>
      <c r="AF109" s="204"/>
      <c r="AG109" s="204"/>
      <c r="AH109" s="204"/>
      <c r="AI109" s="204"/>
      <c r="AJ109" s="204"/>
      <c r="AK109" s="204"/>
      <c r="AL109" s="204"/>
      <c r="AM109" s="204"/>
      <c r="AN109" s="204"/>
      <c r="AO109" s="204"/>
      <c r="AP109" s="204"/>
      <c r="AQ109" s="204"/>
      <c r="AR109" s="204"/>
      <c r="AS109" s="204"/>
      <c r="AT109" s="204"/>
      <c r="AU109" s="204"/>
      <c r="AV109" s="204"/>
      <c r="AW109" s="204"/>
      <c r="AX109" s="204"/>
      <c r="AY109" s="204"/>
      <c r="AZ109" s="204"/>
      <c r="BA109" s="204"/>
      <c r="BB109" s="204"/>
      <c r="BC109" s="204"/>
      <c r="BD109" s="204"/>
      <c r="BE109" s="204"/>
      <c r="BF109" s="204"/>
      <c r="BG109" s="204"/>
      <c r="BH109" s="204"/>
      <c r="BI109" s="204"/>
      <c r="BJ109" s="204"/>
      <c r="BK109" s="204"/>
      <c r="BL109" s="204"/>
    </row>
    <row r="110" spans="1:64" s="203" customFormat="1" ht="15.75" customHeight="1" x14ac:dyDescent="0.2">
      <c r="A110" s="656" t="s">
        <v>239</v>
      </c>
      <c r="B110" s="656"/>
      <c r="C110" s="307">
        <f>C61</f>
        <v>175.50593999999998</v>
      </c>
      <c r="D110" s="307">
        <f>D61</f>
        <v>175.50593999999998</v>
      </c>
      <c r="Y110" s="204"/>
      <c r="Z110" s="204"/>
      <c r="AA110" s="204"/>
      <c r="AB110" s="204"/>
      <c r="AC110" s="204"/>
      <c r="AD110" s="204"/>
      <c r="AE110" s="204"/>
      <c r="AF110" s="204"/>
      <c r="AG110" s="204"/>
      <c r="AH110" s="204"/>
      <c r="AI110" s="204"/>
      <c r="AJ110" s="204"/>
      <c r="AK110" s="204"/>
      <c r="AL110" s="204"/>
      <c r="AM110" s="204"/>
      <c r="AN110" s="204"/>
      <c r="AO110" s="204"/>
      <c r="AP110" s="204"/>
      <c r="AQ110" s="204"/>
      <c r="AR110" s="204"/>
      <c r="AS110" s="204"/>
      <c r="AT110" s="204"/>
      <c r="AU110" s="204"/>
      <c r="AV110" s="204"/>
      <c r="AW110" s="204"/>
      <c r="AX110" s="204"/>
      <c r="AY110" s="204"/>
      <c r="AZ110" s="204"/>
      <c r="BA110" s="204"/>
      <c r="BB110" s="204"/>
      <c r="BC110" s="204"/>
      <c r="BD110" s="204"/>
      <c r="BE110" s="204"/>
      <c r="BF110" s="204"/>
      <c r="BG110" s="204"/>
      <c r="BH110" s="204"/>
      <c r="BI110" s="204"/>
      <c r="BJ110" s="204"/>
      <c r="BK110" s="204"/>
      <c r="BL110" s="204"/>
    </row>
    <row r="111" spans="1:64" s="203" customFormat="1" ht="15.75" customHeight="1" x14ac:dyDescent="0.2">
      <c r="A111" s="656" t="s">
        <v>240</v>
      </c>
      <c r="B111" s="656"/>
      <c r="C111" s="307">
        <f>C85</f>
        <v>453.32025999809906</v>
      </c>
      <c r="D111" s="307">
        <f>D85</f>
        <v>453.32025999809906</v>
      </c>
      <c r="Y111" s="204"/>
      <c r="Z111" s="204"/>
      <c r="AA111" s="204"/>
      <c r="AB111" s="204"/>
      <c r="AC111" s="204"/>
      <c r="AD111" s="204"/>
      <c r="AE111" s="204"/>
      <c r="AF111" s="204"/>
      <c r="AG111" s="204"/>
      <c r="AH111" s="204"/>
      <c r="AI111" s="204"/>
      <c r="AJ111" s="204"/>
      <c r="AK111" s="204"/>
      <c r="AL111" s="204"/>
      <c r="AM111" s="204"/>
      <c r="AN111" s="204"/>
      <c r="AO111" s="204"/>
      <c r="AP111" s="204"/>
      <c r="AQ111" s="204"/>
      <c r="AR111" s="204"/>
      <c r="AS111" s="204"/>
      <c r="AT111" s="204"/>
      <c r="AU111" s="204"/>
      <c r="AV111" s="204"/>
      <c r="AW111" s="204"/>
      <c r="AX111" s="204"/>
      <c r="AY111" s="204"/>
      <c r="AZ111" s="204"/>
      <c r="BA111" s="204"/>
      <c r="BB111" s="204"/>
      <c r="BC111" s="204"/>
      <c r="BD111" s="204"/>
      <c r="BE111" s="204"/>
      <c r="BF111" s="204"/>
      <c r="BG111" s="204"/>
      <c r="BH111" s="204"/>
      <c r="BI111" s="204"/>
      <c r="BJ111" s="204"/>
      <c r="BK111" s="204"/>
      <c r="BL111" s="204"/>
    </row>
    <row r="112" spans="1:64" s="203" customFormat="1" ht="15.75" customHeight="1" x14ac:dyDescent="0.2">
      <c r="A112" s="656" t="s">
        <v>241</v>
      </c>
      <c r="B112" s="656"/>
      <c r="C112" s="307">
        <f>C94</f>
        <v>93.9</v>
      </c>
      <c r="D112" s="307">
        <f>D94</f>
        <v>93.9</v>
      </c>
      <c r="Y112" s="204"/>
      <c r="Z112" s="204"/>
      <c r="AA112" s="204"/>
      <c r="AB112" s="204"/>
      <c r="AC112" s="204"/>
      <c r="AD112" s="204"/>
      <c r="AE112" s="204"/>
      <c r="AF112" s="204"/>
      <c r="AG112" s="204"/>
      <c r="AH112" s="204"/>
      <c r="AI112" s="204"/>
      <c r="AJ112" s="204"/>
      <c r="AK112" s="204"/>
      <c r="AL112" s="204"/>
      <c r="AM112" s="204"/>
      <c r="AN112" s="204"/>
      <c r="AO112" s="204"/>
      <c r="AP112" s="204"/>
      <c r="AQ112" s="204"/>
      <c r="AR112" s="204"/>
      <c r="AS112" s="204"/>
      <c r="AT112" s="204"/>
      <c r="AU112" s="204"/>
      <c r="AV112" s="204"/>
      <c r="AW112" s="204"/>
      <c r="AX112" s="204"/>
      <c r="AY112" s="204"/>
      <c r="AZ112" s="204"/>
      <c r="BA112" s="204"/>
      <c r="BB112" s="204"/>
      <c r="BC112" s="204"/>
      <c r="BD112" s="204"/>
      <c r="BE112" s="204"/>
      <c r="BF112" s="204"/>
      <c r="BG112" s="204"/>
      <c r="BH112" s="204"/>
      <c r="BI112" s="204"/>
      <c r="BJ112" s="204"/>
      <c r="BK112" s="204"/>
      <c r="BL112" s="204"/>
    </row>
    <row r="113" spans="1:64" s="203" customFormat="1" ht="15.75" customHeight="1" x14ac:dyDescent="0.2">
      <c r="A113" s="661" t="s">
        <v>242</v>
      </c>
      <c r="B113" s="661"/>
      <c r="C113" s="308">
        <f>SUM(C108:C112)</f>
        <v>5574.778333331431</v>
      </c>
      <c r="D113" s="308">
        <f>SUM(D108:D112)</f>
        <v>5574.778333331431</v>
      </c>
      <c r="Y113" s="204"/>
      <c r="Z113" s="204"/>
      <c r="AA113" s="204"/>
      <c r="AB113" s="204"/>
      <c r="AC113" s="204"/>
      <c r="AD113" s="204"/>
      <c r="AE113" s="204"/>
      <c r="AF113" s="204"/>
      <c r="AG113" s="204"/>
      <c r="AH113" s="204"/>
      <c r="AI113" s="204"/>
      <c r="AJ113" s="204"/>
      <c r="AK113" s="204"/>
      <c r="AL113" s="204"/>
      <c r="AM113" s="204"/>
      <c r="AN113" s="204"/>
      <c r="AO113" s="204"/>
      <c r="AP113" s="204"/>
      <c r="AQ113" s="204"/>
      <c r="AR113" s="204"/>
      <c r="AS113" s="204"/>
      <c r="AT113" s="204"/>
      <c r="AU113" s="204"/>
      <c r="AV113" s="204"/>
      <c r="AW113" s="204"/>
      <c r="AX113" s="204"/>
      <c r="AY113" s="204"/>
      <c r="AZ113" s="204"/>
      <c r="BA113" s="204"/>
      <c r="BB113" s="204"/>
      <c r="BC113" s="204"/>
      <c r="BD113" s="204"/>
      <c r="BE113" s="204"/>
      <c r="BF113" s="204"/>
      <c r="BG113" s="204"/>
      <c r="BH113" s="204"/>
      <c r="BI113" s="204"/>
      <c r="BJ113" s="204"/>
      <c r="BK113" s="204"/>
      <c r="BL113" s="204"/>
    </row>
    <row r="114" spans="1:64" s="203" customFormat="1" ht="15.75" customHeight="1" x14ac:dyDescent="0.2">
      <c r="A114" s="656" t="s">
        <v>256</v>
      </c>
      <c r="B114" s="656"/>
      <c r="C114" s="307">
        <f>C103</f>
        <v>1397.4674436017608</v>
      </c>
      <c r="D114" s="307">
        <f>D103</f>
        <v>1397.4674436017608</v>
      </c>
      <c r="Y114" s="204"/>
      <c r="Z114" s="204"/>
      <c r="AA114" s="204"/>
      <c r="AB114" s="204"/>
      <c r="AC114" s="204"/>
      <c r="AD114" s="204"/>
      <c r="AE114" s="204"/>
      <c r="AF114" s="204"/>
      <c r="AG114" s="204"/>
      <c r="AH114" s="204"/>
      <c r="AI114" s="204"/>
      <c r="AJ114" s="204"/>
      <c r="AK114" s="204"/>
      <c r="AL114" s="204"/>
      <c r="AM114" s="204"/>
      <c r="AN114" s="204"/>
      <c r="AO114" s="204"/>
      <c r="AP114" s="204"/>
      <c r="AQ114" s="204"/>
      <c r="AR114" s="204"/>
      <c r="AS114" s="204"/>
      <c r="AT114" s="204"/>
      <c r="AU114" s="204"/>
      <c r="AV114" s="204"/>
      <c r="AW114" s="204"/>
      <c r="AX114" s="204"/>
      <c r="AY114" s="204"/>
      <c r="AZ114" s="204"/>
      <c r="BA114" s="204"/>
      <c r="BB114" s="204"/>
      <c r="BC114" s="204"/>
      <c r="BD114" s="204"/>
      <c r="BE114" s="204"/>
      <c r="BF114" s="204"/>
      <c r="BG114" s="204"/>
      <c r="BH114" s="204"/>
      <c r="BI114" s="204"/>
      <c r="BJ114" s="204"/>
      <c r="BK114" s="204"/>
      <c r="BL114" s="204"/>
    </row>
    <row r="115" spans="1:64" s="203" customFormat="1" ht="14.65" customHeight="1" x14ac:dyDescent="0.2">
      <c r="A115" s="312" t="s">
        <v>245</v>
      </c>
      <c r="B115" s="312" t="s">
        <v>258</v>
      </c>
      <c r="C115" s="309">
        <f>TRUNC(SUM(C113,C114),2)</f>
        <v>6972.24</v>
      </c>
      <c r="D115" s="309">
        <f>TRUNC(SUM(D113,D114),2)</f>
        <v>6972.24</v>
      </c>
      <c r="Y115" s="204"/>
      <c r="Z115" s="204"/>
      <c r="AA115" s="204"/>
      <c r="AB115" s="204"/>
      <c r="AC115" s="204"/>
      <c r="AD115" s="204"/>
      <c r="AE115" s="204"/>
      <c r="AF115" s="204"/>
      <c r="AG115" s="204"/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/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/>
      <c r="BE115" s="204"/>
      <c r="BF115" s="204"/>
      <c r="BG115" s="204"/>
      <c r="BH115" s="204"/>
      <c r="BI115" s="204"/>
      <c r="BJ115" s="204"/>
      <c r="BK115" s="204"/>
      <c r="BL115" s="204"/>
    </row>
    <row r="116" spans="1:64" s="203" customFormat="1" ht="14.85" customHeight="1" x14ac:dyDescent="0.2">
      <c r="A116" s="312" t="s">
        <v>459</v>
      </c>
      <c r="B116" s="312" t="s">
        <v>258</v>
      </c>
      <c r="C116" s="309">
        <f>C115/220*8.8</f>
        <v>278.88960000000003</v>
      </c>
      <c r="D116" s="309">
        <f>D115/220*8.8</f>
        <v>278.88960000000003</v>
      </c>
      <c r="E116" s="310"/>
      <c r="Y116" s="204"/>
      <c r="Z116" s="204"/>
      <c r="AA116" s="204"/>
      <c r="AB116" s="204"/>
      <c r="AC116" s="204"/>
      <c r="AD116" s="204"/>
      <c r="AE116" s="204"/>
      <c r="AF116" s="204"/>
      <c r="AG116" s="204"/>
      <c r="AH116" s="204"/>
      <c r="AI116" s="204"/>
      <c r="AJ116" s="204"/>
      <c r="AK116" s="204"/>
      <c r="AL116" s="204"/>
      <c r="AM116" s="204"/>
      <c r="AN116" s="204"/>
      <c r="AO116" s="204"/>
      <c r="AP116" s="204"/>
      <c r="AQ116" s="204"/>
      <c r="AR116" s="204"/>
      <c r="AS116" s="204"/>
      <c r="AT116" s="204"/>
      <c r="AU116" s="204"/>
      <c r="AV116" s="204"/>
      <c r="AW116" s="204"/>
      <c r="AX116" s="204"/>
      <c r="AY116" s="204"/>
      <c r="AZ116" s="204"/>
      <c r="BA116" s="204"/>
      <c r="BB116" s="204"/>
      <c r="BC116" s="204"/>
      <c r="BD116" s="204"/>
      <c r="BE116" s="204"/>
      <c r="BF116" s="204"/>
      <c r="BG116" s="204"/>
      <c r="BH116" s="204"/>
      <c r="BI116" s="204"/>
      <c r="BJ116" s="204"/>
      <c r="BK116" s="204"/>
      <c r="BL116" s="204"/>
    </row>
    <row r="118" spans="1:64" s="203" customFormat="1" ht="55.9" customHeight="1" x14ac:dyDescent="0.2">
      <c r="A118" s="660" t="s">
        <v>248</v>
      </c>
      <c r="B118" s="660"/>
      <c r="C118" s="660"/>
      <c r="D118" s="660"/>
      <c r="Y118" s="204"/>
      <c r="Z118" s="204"/>
      <c r="AA118" s="204"/>
      <c r="AB118" s="204"/>
      <c r="AC118" s="204"/>
      <c r="AD118" s="204"/>
      <c r="AE118" s="204"/>
      <c r="AF118" s="204"/>
      <c r="AG118" s="204"/>
      <c r="AH118" s="204"/>
      <c r="AI118" s="204"/>
      <c r="AJ118" s="204"/>
      <c r="AK118" s="204"/>
      <c r="AL118" s="204"/>
      <c r="AM118" s="204"/>
      <c r="AN118" s="204"/>
      <c r="AO118" s="204"/>
      <c r="AP118" s="204"/>
      <c r="AQ118" s="204"/>
      <c r="AR118" s="204"/>
      <c r="AS118" s="204"/>
      <c r="AT118" s="204"/>
      <c r="AU118" s="204"/>
      <c r="AV118" s="204"/>
      <c r="AW118" s="204"/>
      <c r="AX118" s="204"/>
      <c r="AY118" s="204"/>
      <c r="AZ118" s="204"/>
      <c r="BA118" s="204"/>
      <c r="BB118" s="204"/>
      <c r="BC118" s="204"/>
      <c r="BD118" s="204"/>
      <c r="BE118" s="204"/>
      <c r="BF118" s="204"/>
      <c r="BG118" s="204"/>
      <c r="BH118" s="204"/>
      <c r="BI118" s="204"/>
      <c r="BJ118" s="204"/>
      <c r="BK118" s="204"/>
      <c r="BL118" s="204"/>
    </row>
  </sheetData>
  <mergeCells count="21">
    <mergeCell ref="A13:D13"/>
    <mergeCell ref="A1:D1"/>
    <mergeCell ref="A2:D2"/>
    <mergeCell ref="A3:D3"/>
    <mergeCell ref="A4:D4"/>
    <mergeCell ref="A6:D6"/>
    <mergeCell ref="A24:D24"/>
    <mergeCell ref="A53:D53"/>
    <mergeCell ref="A63:D63"/>
    <mergeCell ref="A87:D87"/>
    <mergeCell ref="A96:D96"/>
    <mergeCell ref="A118:D118"/>
    <mergeCell ref="A112:B112"/>
    <mergeCell ref="A113:B113"/>
    <mergeCell ref="A114:B114"/>
    <mergeCell ref="A106:B106"/>
    <mergeCell ref="A107:B107"/>
    <mergeCell ref="A108:B108"/>
    <mergeCell ref="A109:B109"/>
    <mergeCell ref="A110:B110"/>
    <mergeCell ref="A111:B111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52"/>
  <sheetViews>
    <sheetView workbookViewId="0">
      <pane ySplit="8" topLeftCell="A27" activePane="bottomLeft" state="frozen"/>
      <selection pane="bottomLeft" activeCell="B23" sqref="B23"/>
    </sheetView>
  </sheetViews>
  <sheetFormatPr defaultRowHeight="14.65" customHeight="1" x14ac:dyDescent="0.2"/>
  <cols>
    <col min="1" max="1" width="53.25" style="203" customWidth="1"/>
    <col min="2" max="2" width="18.5" style="203" customWidth="1"/>
    <col min="3" max="9" width="12.75" style="203" customWidth="1"/>
    <col min="10" max="30" width="8.625" style="203" customWidth="1"/>
    <col min="31" max="62" width="8.625" style="204" customWidth="1"/>
    <col min="63" max="228" width="8.625" customWidth="1"/>
    <col min="229" max="251" width="8.625" style="1" customWidth="1"/>
  </cols>
  <sheetData>
    <row r="1" spans="1:228" ht="19.350000000000001" customHeight="1" x14ac:dyDescent="0.2">
      <c r="A1" s="625" t="s">
        <v>475</v>
      </c>
      <c r="B1" s="626"/>
      <c r="C1" s="626"/>
      <c r="D1" s="626"/>
      <c r="E1" s="626"/>
      <c r="F1" s="627"/>
      <c r="AB1" s="204"/>
      <c r="AC1" s="204"/>
      <c r="AD1" s="204"/>
      <c r="HR1" s="1"/>
      <c r="HS1" s="1"/>
      <c r="HT1" s="1"/>
    </row>
    <row r="2" spans="1:228" ht="14.65" customHeight="1" x14ac:dyDescent="0.2">
      <c r="A2" s="628" t="s">
        <v>71</v>
      </c>
      <c r="B2" s="628"/>
      <c r="C2" s="628"/>
      <c r="D2" s="628"/>
      <c r="E2" s="628"/>
      <c r="F2" s="628"/>
      <c r="AB2" s="204"/>
      <c r="AC2" s="204"/>
      <c r="AD2" s="204"/>
      <c r="HR2" s="1"/>
      <c r="HS2" s="1"/>
      <c r="HT2" s="1"/>
    </row>
    <row r="3" spans="1:228" ht="14.65" customHeight="1" x14ac:dyDescent="0.2">
      <c r="A3" s="629" t="s">
        <v>259</v>
      </c>
      <c r="B3" s="629"/>
      <c r="C3" s="629"/>
      <c r="D3" s="629"/>
      <c r="E3" s="629"/>
      <c r="F3" s="629"/>
      <c r="AB3" s="204"/>
      <c r="AC3" s="204"/>
      <c r="AD3" s="204"/>
      <c r="HR3" s="1"/>
      <c r="HS3" s="1"/>
      <c r="HT3" s="1"/>
    </row>
    <row r="4" spans="1:228" ht="24.4" customHeight="1" x14ac:dyDescent="0.2">
      <c r="A4" s="630" t="s">
        <v>260</v>
      </c>
      <c r="B4" s="631"/>
      <c r="C4" s="631"/>
      <c r="D4" s="631"/>
      <c r="E4" s="631"/>
      <c r="F4" s="632"/>
      <c r="AB4" s="204"/>
      <c r="AC4" s="204"/>
      <c r="AD4" s="204"/>
      <c r="HR4" s="1"/>
      <c r="HS4" s="1"/>
      <c r="HT4" s="1"/>
    </row>
    <row r="5" spans="1:228" ht="14.65" customHeight="1" x14ac:dyDescent="0.2">
      <c r="A5" s="461"/>
      <c r="B5" s="461"/>
      <c r="C5" s="461"/>
      <c r="D5" s="461"/>
      <c r="E5" s="461"/>
      <c r="F5" s="461"/>
      <c r="AB5" s="204"/>
      <c r="AC5" s="204"/>
      <c r="AD5" s="204"/>
      <c r="HR5" s="1"/>
      <c r="HS5" s="1"/>
      <c r="HT5" s="1"/>
    </row>
    <row r="6" spans="1:228" ht="17.100000000000001" customHeight="1" x14ac:dyDescent="0.2">
      <c r="A6" s="679" t="s">
        <v>261</v>
      </c>
      <c r="B6" s="680"/>
      <c r="C6" s="680"/>
      <c r="D6" s="680"/>
      <c r="E6" s="680"/>
      <c r="F6" s="681"/>
      <c r="AB6" s="204"/>
      <c r="AC6" s="204"/>
      <c r="AD6" s="204"/>
      <c r="HR6" s="1"/>
      <c r="HS6" s="1"/>
      <c r="HT6" s="1"/>
    </row>
    <row r="7" spans="1:228" ht="14.65" customHeight="1" x14ac:dyDescent="0.2">
      <c r="A7" s="668" t="s">
        <v>262</v>
      </c>
      <c r="B7" s="668"/>
      <c r="C7" s="669" t="s">
        <v>76</v>
      </c>
      <c r="D7" s="669"/>
      <c r="E7" s="669" t="s">
        <v>488</v>
      </c>
      <c r="F7" s="669"/>
      <c r="AB7" s="204"/>
      <c r="AC7" s="204"/>
      <c r="AD7" s="204"/>
      <c r="HR7" s="1"/>
      <c r="HS7" s="1"/>
      <c r="HT7" s="1"/>
    </row>
    <row r="8" spans="1:228" ht="15.75" customHeight="1" x14ac:dyDescent="0.2">
      <c r="A8" s="668"/>
      <c r="B8" s="668"/>
      <c r="C8" s="318" t="s">
        <v>263</v>
      </c>
      <c r="D8" s="318" t="s">
        <v>264</v>
      </c>
      <c r="E8" s="318" t="s">
        <v>263</v>
      </c>
      <c r="F8" s="318" t="s">
        <v>264</v>
      </c>
      <c r="AB8" s="204"/>
      <c r="AC8" s="204"/>
      <c r="AD8" s="204"/>
      <c r="HR8" s="1"/>
      <c r="HS8" s="1"/>
      <c r="HT8" s="1"/>
    </row>
    <row r="9" spans="1:228" ht="15.75" customHeight="1" x14ac:dyDescent="0.2">
      <c r="A9" s="319" t="s">
        <v>265</v>
      </c>
      <c r="B9" s="320" t="s">
        <v>155</v>
      </c>
      <c r="C9" s="320" t="s">
        <v>266</v>
      </c>
      <c r="D9" s="320" t="s">
        <v>266</v>
      </c>
      <c r="E9" s="320" t="s">
        <v>266</v>
      </c>
      <c r="F9" s="320" t="s">
        <v>266</v>
      </c>
      <c r="AB9" s="204"/>
      <c r="AC9" s="204"/>
      <c r="AD9" s="204"/>
      <c r="HR9" s="1"/>
      <c r="HS9" s="1"/>
      <c r="HT9" s="1"/>
    </row>
    <row r="10" spans="1:228" ht="14.65" customHeight="1" x14ac:dyDescent="0.2">
      <c r="A10" s="321" t="s">
        <v>267</v>
      </c>
      <c r="B10" s="322" t="s">
        <v>489</v>
      </c>
      <c r="C10" s="323">
        <f>'Valores e modelos Veículos'!F23</f>
        <v>1456.051851851852</v>
      </c>
      <c r="D10" s="323">
        <f>'Valores e modelos Veículos'!F23</f>
        <v>1456.051851851852</v>
      </c>
      <c r="E10" s="676">
        <f>'Valores e modelos Veículos'!F63</f>
        <v>909.33333333333337</v>
      </c>
      <c r="F10" s="676">
        <f>'Valores e modelos Veículos'!F63</f>
        <v>909.33333333333337</v>
      </c>
      <c r="AB10" s="204"/>
      <c r="AC10" s="204"/>
      <c r="AD10" s="204"/>
      <c r="HR10" s="1"/>
      <c r="HS10" s="1"/>
      <c r="HT10" s="1"/>
    </row>
    <row r="11" spans="1:228" ht="14.65" customHeight="1" x14ac:dyDescent="0.2">
      <c r="A11" s="324" t="s">
        <v>268</v>
      </c>
      <c r="B11" s="325"/>
      <c r="C11" s="326">
        <f>'Valores e modelos Veículos'!F24</f>
        <v>7.3316666666666661</v>
      </c>
      <c r="D11" s="326">
        <f>'Valores e modelos Veículos'!F25</f>
        <v>7.8744444444444435</v>
      </c>
      <c r="E11" s="677"/>
      <c r="F11" s="677"/>
      <c r="AB11" s="204"/>
      <c r="AC11" s="204"/>
      <c r="AD11" s="204"/>
      <c r="HR11" s="1"/>
      <c r="HS11" s="1"/>
      <c r="HT11" s="1"/>
    </row>
    <row r="12" spans="1:228" ht="14.65" customHeight="1" x14ac:dyDescent="0.2">
      <c r="A12" s="324" t="s">
        <v>269</v>
      </c>
      <c r="B12" s="325"/>
      <c r="C12" s="326">
        <f>'Valores e modelos Veículos'!F26</f>
        <v>0</v>
      </c>
      <c r="D12" s="326">
        <f>'Valores e modelos Veículos'!F26</f>
        <v>0</v>
      </c>
      <c r="E12" s="677"/>
      <c r="F12" s="677"/>
      <c r="AB12" s="204"/>
      <c r="AC12" s="204"/>
      <c r="AD12" s="204"/>
      <c r="HR12" s="1"/>
      <c r="HS12" s="1"/>
      <c r="HT12" s="1"/>
    </row>
    <row r="13" spans="1:228" ht="14.65" customHeight="1" x14ac:dyDescent="0.2">
      <c r="A13" s="324" t="s">
        <v>270</v>
      </c>
      <c r="B13" s="327"/>
      <c r="C13" s="326">
        <f>'Valores e modelos Veículos'!F27</f>
        <v>254.80907407407412</v>
      </c>
      <c r="D13" s="326">
        <f>'Valores e modelos Veículos'!F28</f>
        <v>218.40777777777774</v>
      </c>
      <c r="E13" s="677"/>
      <c r="F13" s="677"/>
      <c r="AB13" s="204"/>
      <c r="AC13" s="204"/>
      <c r="AD13" s="204"/>
      <c r="HR13" s="1"/>
      <c r="HS13" s="1"/>
      <c r="HT13" s="1"/>
    </row>
    <row r="14" spans="1:228" ht="12.75" customHeight="1" x14ac:dyDescent="0.2">
      <c r="A14" s="324" t="s">
        <v>271</v>
      </c>
      <c r="B14" s="327"/>
      <c r="C14" s="326">
        <f>'Valores e modelos Veículos'!G33</f>
        <v>291.21037037037036</v>
      </c>
      <c r="D14" s="326">
        <f>'Valores e modelos Veículos'!G33</f>
        <v>291.21037037037036</v>
      </c>
      <c r="E14" s="677"/>
      <c r="F14" s="677"/>
      <c r="AB14" s="204"/>
      <c r="AC14" s="204"/>
      <c r="AD14" s="204"/>
      <c r="HR14" s="1"/>
      <c r="HS14" s="1"/>
      <c r="HT14" s="1"/>
    </row>
    <row r="15" spans="1:228" ht="14.65" customHeight="1" x14ac:dyDescent="0.2">
      <c r="A15" s="324" t="s">
        <v>272</v>
      </c>
      <c r="B15" s="327"/>
      <c r="C15" s="326">
        <v>74.92</v>
      </c>
      <c r="D15" s="326">
        <v>74.92</v>
      </c>
      <c r="E15" s="677"/>
      <c r="F15" s="677"/>
      <c r="AB15" s="204"/>
      <c r="AC15" s="204"/>
      <c r="AD15" s="204"/>
      <c r="HR15" s="1"/>
      <c r="HS15" s="1"/>
      <c r="HT15" s="1"/>
    </row>
    <row r="16" spans="1:228" ht="14.65" customHeight="1" x14ac:dyDescent="0.2">
      <c r="A16" s="328" t="s">
        <v>273</v>
      </c>
      <c r="B16" s="329"/>
      <c r="C16" s="330"/>
      <c r="D16" s="330"/>
      <c r="E16" s="678"/>
      <c r="F16" s="678"/>
      <c r="AB16" s="204"/>
      <c r="AC16" s="204"/>
      <c r="AD16" s="204"/>
      <c r="HR16" s="1"/>
      <c r="HS16" s="1"/>
      <c r="HT16" s="1"/>
    </row>
    <row r="17" spans="1:228" ht="15.75" customHeight="1" x14ac:dyDescent="0.2">
      <c r="A17" s="331" t="s">
        <v>274</v>
      </c>
      <c r="B17" s="332"/>
      <c r="C17" s="333">
        <f>SUM(C10:C15)</f>
        <v>2084.3229629629632</v>
      </c>
      <c r="D17" s="333">
        <f t="shared" ref="D17:F17" si="0">SUM(D10:D15)</f>
        <v>2048.4644444444443</v>
      </c>
      <c r="E17" s="333">
        <f t="shared" si="0"/>
        <v>909.33333333333337</v>
      </c>
      <c r="F17" s="333">
        <f t="shared" si="0"/>
        <v>909.33333333333337</v>
      </c>
      <c r="G17" s="334"/>
      <c r="AB17" s="204"/>
      <c r="AC17" s="204"/>
      <c r="AD17" s="204"/>
      <c r="HR17" s="1"/>
      <c r="HS17" s="1"/>
      <c r="HT17" s="1"/>
    </row>
    <row r="18" spans="1:228" ht="15.75" customHeight="1" x14ac:dyDescent="0.2">
      <c r="A18" s="335"/>
      <c r="B18" s="336"/>
      <c r="C18" s="337"/>
      <c r="D18" s="337"/>
      <c r="E18" s="337"/>
      <c r="F18" s="338"/>
      <c r="AB18" s="204"/>
      <c r="AC18" s="204"/>
      <c r="AD18" s="204"/>
      <c r="HR18" s="1"/>
      <c r="HS18" s="1"/>
      <c r="HT18" s="1"/>
    </row>
    <row r="19" spans="1:228" ht="15.75" customHeight="1" x14ac:dyDescent="0.2">
      <c r="A19" s="648" t="s">
        <v>275</v>
      </c>
      <c r="B19" s="648"/>
      <c r="C19" s="648"/>
      <c r="D19" s="648"/>
      <c r="E19" s="648"/>
      <c r="F19" s="648"/>
      <c r="AB19" s="204"/>
      <c r="AC19" s="204"/>
      <c r="AD19" s="204"/>
      <c r="HR19" s="1"/>
      <c r="HS19" s="1"/>
      <c r="HT19" s="1"/>
    </row>
    <row r="20" spans="1:228" ht="14.65" customHeight="1" x14ac:dyDescent="0.2">
      <c r="A20" s="339" t="s">
        <v>276</v>
      </c>
      <c r="B20" s="340" t="s">
        <v>167</v>
      </c>
      <c r="C20" s="320" t="s">
        <v>266</v>
      </c>
      <c r="D20" s="320" t="s">
        <v>266</v>
      </c>
      <c r="E20" s="320" t="s">
        <v>266</v>
      </c>
      <c r="F20" s="320" t="s">
        <v>266</v>
      </c>
      <c r="AB20" s="204"/>
      <c r="AC20" s="204"/>
      <c r="AD20" s="204"/>
      <c r="HR20" s="1"/>
      <c r="HS20" s="1"/>
      <c r="HT20" s="1"/>
    </row>
    <row r="21" spans="1:228" ht="14.65" customHeight="1" x14ac:dyDescent="0.2">
      <c r="A21" s="341" t="s">
        <v>226</v>
      </c>
      <c r="B21" s="342">
        <v>0.05</v>
      </c>
      <c r="C21" s="343">
        <f t="shared" ref="C21:F21" si="1">ROUND($B$21*C17,2)</f>
        <v>104.22</v>
      </c>
      <c r="D21" s="343">
        <f t="shared" si="1"/>
        <v>102.42</v>
      </c>
      <c r="E21" s="343">
        <f t="shared" si="1"/>
        <v>45.47</v>
      </c>
      <c r="F21" s="343">
        <f t="shared" si="1"/>
        <v>45.47</v>
      </c>
      <c r="AB21" s="204"/>
      <c r="AC21" s="204"/>
      <c r="AD21" s="204"/>
      <c r="HR21" s="1"/>
      <c r="HS21" s="1"/>
      <c r="HT21" s="1"/>
    </row>
    <row r="22" spans="1:228" ht="14.65" customHeight="1" x14ac:dyDescent="0.2">
      <c r="A22" s="344" t="s">
        <v>277</v>
      </c>
      <c r="B22" s="345">
        <v>0.1</v>
      </c>
      <c r="C22" s="346">
        <f t="shared" ref="C22:F22" si="2">ROUND($B$22*(C17+C21),2)</f>
        <v>218.85</v>
      </c>
      <c r="D22" s="346">
        <f t="shared" si="2"/>
        <v>215.09</v>
      </c>
      <c r="E22" s="346">
        <f t="shared" si="2"/>
        <v>95.48</v>
      </c>
      <c r="F22" s="346">
        <f t="shared" si="2"/>
        <v>95.48</v>
      </c>
      <c r="AB22" s="204"/>
      <c r="AC22" s="204"/>
      <c r="AD22" s="204"/>
      <c r="HR22" s="1"/>
      <c r="HS22" s="1"/>
      <c r="HT22" s="1"/>
    </row>
    <row r="23" spans="1:228" ht="14.65" customHeight="1" x14ac:dyDescent="0.2">
      <c r="A23" s="347" t="s">
        <v>278</v>
      </c>
      <c r="B23" s="348">
        <f>B24+B25</f>
        <v>5.6499999999999995E-2</v>
      </c>
      <c r="C23" s="349">
        <f t="shared" ref="C23:F23" si="3">((C$17+C$21+C$22)/(1-($B23)))*$B23</f>
        <v>144.16290663212231</v>
      </c>
      <c r="D23" s="349">
        <f t="shared" si="3"/>
        <v>141.68262438909497</v>
      </c>
      <c r="E23" s="349">
        <f t="shared" si="3"/>
        <v>62.894550432785721</v>
      </c>
      <c r="F23" s="349">
        <f t="shared" si="3"/>
        <v>62.894550432785721</v>
      </c>
      <c r="AB23" s="204"/>
      <c r="AC23" s="204"/>
      <c r="AD23" s="204"/>
      <c r="HR23" s="1"/>
      <c r="HS23" s="1"/>
      <c r="HT23" s="1"/>
    </row>
    <row r="24" spans="1:228" ht="14.65" customHeight="1" x14ac:dyDescent="0.2">
      <c r="A24" s="344" t="s">
        <v>279</v>
      </c>
      <c r="B24" s="345">
        <v>3.6499999999999998E-2</v>
      </c>
      <c r="C24" s="346">
        <f t="shared" ref="C24:F24" si="4">ROUND(((C$17+C$21+C$22)/(1-$B$23))*$B$24,2)</f>
        <v>93.13</v>
      </c>
      <c r="D24" s="346">
        <f t="shared" si="4"/>
        <v>91.53</v>
      </c>
      <c r="E24" s="346">
        <f t="shared" si="4"/>
        <v>40.630000000000003</v>
      </c>
      <c r="F24" s="346">
        <f t="shared" si="4"/>
        <v>40.630000000000003</v>
      </c>
      <c r="AB24" s="204"/>
      <c r="AC24" s="204"/>
      <c r="AD24" s="204"/>
      <c r="HR24" s="1"/>
      <c r="HS24" s="1"/>
      <c r="HT24" s="1"/>
    </row>
    <row r="25" spans="1:228" ht="14.65" customHeight="1" x14ac:dyDescent="0.2">
      <c r="A25" s="344" t="s">
        <v>280</v>
      </c>
      <c r="B25" s="350">
        <v>0.02</v>
      </c>
      <c r="C25" s="346">
        <f t="shared" ref="C25:F25" si="5">ROUND(((C$17+C$21+C$22)/(1-$B23))*$B25,2)</f>
        <v>51.03</v>
      </c>
      <c r="D25" s="346">
        <f t="shared" si="5"/>
        <v>50.15</v>
      </c>
      <c r="E25" s="346">
        <f t="shared" si="5"/>
        <v>22.26</v>
      </c>
      <c r="F25" s="346">
        <f t="shared" si="5"/>
        <v>22.26</v>
      </c>
      <c r="AB25" s="204"/>
      <c r="AC25" s="204"/>
      <c r="AD25" s="204"/>
      <c r="HR25" s="1"/>
      <c r="HS25" s="1"/>
      <c r="HT25" s="1"/>
    </row>
    <row r="26" spans="1:228" ht="14.65" customHeight="1" x14ac:dyDescent="0.2">
      <c r="A26" s="347" t="s">
        <v>281</v>
      </c>
      <c r="B26" s="348">
        <f>B27+B28</f>
        <v>6.6500000000000004E-2</v>
      </c>
      <c r="C26" s="349">
        <f t="shared" ref="C26:F26" si="6">((C$17+C$21+C$22)/(1-($B26)))*$B26</f>
        <v>171.49612430319982</v>
      </c>
      <c r="D26" s="349">
        <f t="shared" si="6"/>
        <v>168.54558174135573</v>
      </c>
      <c r="E26" s="349">
        <f t="shared" si="6"/>
        <v>74.819326905909662</v>
      </c>
      <c r="F26" s="349">
        <f t="shared" si="6"/>
        <v>74.819326905909662</v>
      </c>
      <c r="AB26" s="204"/>
      <c r="AC26" s="204"/>
      <c r="AD26" s="204"/>
      <c r="HR26" s="1"/>
      <c r="HS26" s="1"/>
      <c r="HT26" s="1"/>
    </row>
    <row r="27" spans="1:228" ht="14.65" customHeight="1" x14ac:dyDescent="0.2">
      <c r="A27" s="344" t="s">
        <v>279</v>
      </c>
      <c r="B27" s="345">
        <f>B$24</f>
        <v>3.6499999999999998E-2</v>
      </c>
      <c r="C27" s="346">
        <f t="shared" ref="C27:F27" si="7">ROUND(((C$17+C$21+C$22)/(1-$B26))*$B27,2)</f>
        <v>94.13</v>
      </c>
      <c r="D27" s="346">
        <f t="shared" si="7"/>
        <v>92.51</v>
      </c>
      <c r="E27" s="346">
        <f t="shared" si="7"/>
        <v>41.07</v>
      </c>
      <c r="F27" s="346">
        <f t="shared" si="7"/>
        <v>41.07</v>
      </c>
      <c r="AB27" s="204"/>
      <c r="AC27" s="204"/>
      <c r="AD27" s="204"/>
      <c r="HR27" s="1"/>
      <c r="HS27" s="1"/>
      <c r="HT27" s="1"/>
    </row>
    <row r="28" spans="1:228" ht="14.65" customHeight="1" x14ac:dyDescent="0.2">
      <c r="A28" s="344" t="s">
        <v>280</v>
      </c>
      <c r="B28" s="350">
        <v>0.03</v>
      </c>
      <c r="C28" s="346">
        <f t="shared" ref="C28:F28" si="8">ROUND(((C$17+C$21+C$22)/(1-$B26))*$B28,2)</f>
        <v>77.37</v>
      </c>
      <c r="D28" s="346">
        <f t="shared" si="8"/>
        <v>76.040000000000006</v>
      </c>
      <c r="E28" s="346">
        <f t="shared" si="8"/>
        <v>33.75</v>
      </c>
      <c r="F28" s="346">
        <f t="shared" si="8"/>
        <v>33.75</v>
      </c>
      <c r="AB28" s="204"/>
      <c r="AC28" s="204"/>
      <c r="AD28" s="204"/>
      <c r="HR28" s="1"/>
      <c r="HS28" s="1"/>
      <c r="HT28" s="1"/>
    </row>
    <row r="29" spans="1:228" ht="14.65" customHeight="1" x14ac:dyDescent="0.2">
      <c r="A29" s="347" t="s">
        <v>282</v>
      </c>
      <c r="B29" s="348">
        <f>B30+B31</f>
        <v>7.1500000000000008E-2</v>
      </c>
      <c r="C29" s="349">
        <f t="shared" ref="C29:F29" si="9">((C$17+C$21+C$22)/(1-($B29)))*$B29</f>
        <v>185.38351841879575</v>
      </c>
      <c r="D29" s="349">
        <f t="shared" si="9"/>
        <v>182.19404714892602</v>
      </c>
      <c r="E29" s="349">
        <f t="shared" si="9"/>
        <v>80.878038054209313</v>
      </c>
      <c r="F29" s="349">
        <f t="shared" si="9"/>
        <v>80.878038054209313</v>
      </c>
      <c r="AB29" s="204"/>
      <c r="AC29" s="204"/>
      <c r="AD29" s="204"/>
      <c r="HR29" s="1"/>
      <c r="HS29" s="1"/>
      <c r="HT29" s="1"/>
    </row>
    <row r="30" spans="1:228" ht="14.65" customHeight="1" x14ac:dyDescent="0.2">
      <c r="A30" s="344" t="s">
        <v>279</v>
      </c>
      <c r="B30" s="350">
        <f>B$24</f>
        <v>3.6499999999999998E-2</v>
      </c>
      <c r="C30" s="346">
        <f t="shared" ref="C30:F30" si="10">ROUND(((C$17+C$21+C$22)/(1-$B29))*$B30,2)</f>
        <v>94.64</v>
      </c>
      <c r="D30" s="346">
        <f t="shared" si="10"/>
        <v>93.01</v>
      </c>
      <c r="E30" s="346">
        <f t="shared" si="10"/>
        <v>41.29</v>
      </c>
      <c r="F30" s="346">
        <f t="shared" si="10"/>
        <v>41.29</v>
      </c>
      <c r="AB30" s="204"/>
      <c r="AC30" s="204"/>
      <c r="AD30" s="204"/>
      <c r="HR30" s="1"/>
      <c r="HS30" s="1"/>
      <c r="HT30" s="1"/>
    </row>
    <row r="31" spans="1:228" ht="14.65" customHeight="1" x14ac:dyDescent="0.2">
      <c r="A31" s="344" t="s">
        <v>280</v>
      </c>
      <c r="B31" s="350">
        <v>3.5000000000000003E-2</v>
      </c>
      <c r="C31" s="346">
        <f t="shared" ref="C31:F31" si="11">ROUND(((C$17+C$21+C$22)/(1-$B29))*$B31,2)</f>
        <v>90.75</v>
      </c>
      <c r="D31" s="346">
        <f t="shared" si="11"/>
        <v>89.19</v>
      </c>
      <c r="E31" s="346">
        <f t="shared" si="11"/>
        <v>39.590000000000003</v>
      </c>
      <c r="F31" s="346">
        <f t="shared" si="11"/>
        <v>39.590000000000003</v>
      </c>
      <c r="AB31" s="204"/>
      <c r="AC31" s="204"/>
      <c r="AD31" s="204"/>
      <c r="HR31" s="1"/>
      <c r="HS31" s="1"/>
      <c r="HT31" s="1"/>
    </row>
    <row r="32" spans="1:228" ht="14.65" customHeight="1" x14ac:dyDescent="0.2">
      <c r="A32" s="347" t="s">
        <v>283</v>
      </c>
      <c r="B32" s="348">
        <f>B33+B34</f>
        <v>7.6499999999999999E-2</v>
      </c>
      <c r="C32" s="349">
        <f t="shared" ref="C32:F32" si="12">((C$17+C$21+C$22)/(1-($B32)))*$B32</f>
        <v>199.4212903807977</v>
      </c>
      <c r="D32" s="349">
        <f t="shared" si="12"/>
        <v>195.99030319436926</v>
      </c>
      <c r="E32" s="349">
        <f t="shared" si="12"/>
        <v>87.002355170546835</v>
      </c>
      <c r="F32" s="349">
        <f t="shared" si="12"/>
        <v>87.002355170546835</v>
      </c>
      <c r="AB32" s="204"/>
      <c r="AC32" s="204"/>
      <c r="AD32" s="204"/>
      <c r="HR32" s="1"/>
      <c r="HS32" s="1"/>
      <c r="HT32" s="1"/>
    </row>
    <row r="33" spans="1:228" ht="14.65" customHeight="1" x14ac:dyDescent="0.2">
      <c r="A33" s="344" t="s">
        <v>279</v>
      </c>
      <c r="B33" s="350">
        <f>B$24</f>
        <v>3.6499999999999998E-2</v>
      </c>
      <c r="C33" s="346">
        <f t="shared" ref="C33:F33" si="13">ROUND(((C$17+C$21+C$22)/(1-$B32))*$B33,2)</f>
        <v>95.15</v>
      </c>
      <c r="D33" s="346">
        <f t="shared" si="13"/>
        <v>93.51</v>
      </c>
      <c r="E33" s="346">
        <f t="shared" si="13"/>
        <v>41.51</v>
      </c>
      <c r="F33" s="346">
        <f t="shared" si="13"/>
        <v>41.51</v>
      </c>
      <c r="AB33" s="204"/>
      <c r="AC33" s="204"/>
      <c r="AD33" s="204"/>
      <c r="HR33" s="1"/>
      <c r="HS33" s="1"/>
      <c r="HT33" s="1"/>
    </row>
    <row r="34" spans="1:228" ht="14.65" customHeight="1" x14ac:dyDescent="0.2">
      <c r="A34" s="344" t="s">
        <v>280</v>
      </c>
      <c r="B34" s="350">
        <v>0.04</v>
      </c>
      <c r="C34" s="346">
        <f t="shared" ref="C34:F34" si="14">ROUND(((C$17+C$21+C$22)/(1-$B32))*$B34,2)</f>
        <v>104.27</v>
      </c>
      <c r="D34" s="346">
        <f t="shared" si="14"/>
        <v>102.48</v>
      </c>
      <c r="E34" s="346">
        <f t="shared" si="14"/>
        <v>45.49</v>
      </c>
      <c r="F34" s="346">
        <f t="shared" si="14"/>
        <v>45.49</v>
      </c>
      <c r="AB34" s="204"/>
      <c r="AC34" s="204"/>
      <c r="AD34" s="204"/>
      <c r="HR34" s="1"/>
      <c r="HS34" s="1"/>
      <c r="HT34" s="1"/>
    </row>
    <row r="35" spans="1:228" ht="14.65" customHeight="1" x14ac:dyDescent="0.2">
      <c r="A35" s="347" t="s">
        <v>284</v>
      </c>
      <c r="B35" s="348">
        <f>B36+B37</f>
        <v>8.6499999999999994E-2</v>
      </c>
      <c r="C35" s="349">
        <f t="shared" ref="C35:F35" si="15">((C$17+C$21+C$22)/(1-($B35)))*$B35</f>
        <v>227.95784487826631</v>
      </c>
      <c r="D35" s="349">
        <f t="shared" si="15"/>
        <v>224.0358943015265</v>
      </c>
      <c r="E35" s="349">
        <f t="shared" si="15"/>
        <v>99.452116402116388</v>
      </c>
      <c r="F35" s="349">
        <f t="shared" si="15"/>
        <v>99.452116402116388</v>
      </c>
      <c r="AB35" s="204"/>
      <c r="AC35" s="204"/>
      <c r="AD35" s="204"/>
      <c r="HR35" s="1"/>
      <c r="HS35" s="1"/>
      <c r="HT35" s="1"/>
    </row>
    <row r="36" spans="1:228" ht="14.65" customHeight="1" x14ac:dyDescent="0.2">
      <c r="A36" s="344" t="s">
        <v>279</v>
      </c>
      <c r="B36" s="350">
        <f>B$24</f>
        <v>3.6499999999999998E-2</v>
      </c>
      <c r="C36" s="346">
        <f t="shared" ref="C36:F36" si="16">ROUND(((C$17+C$21+C$22)/(1-$B35))*$B36,2)</f>
        <v>96.19</v>
      </c>
      <c r="D36" s="346">
        <f t="shared" si="16"/>
        <v>94.54</v>
      </c>
      <c r="E36" s="346">
        <f t="shared" si="16"/>
        <v>41.97</v>
      </c>
      <c r="F36" s="346">
        <f t="shared" si="16"/>
        <v>41.97</v>
      </c>
      <c r="AB36" s="204"/>
      <c r="AC36" s="204"/>
      <c r="AD36" s="204"/>
      <c r="HR36" s="1"/>
      <c r="HS36" s="1"/>
      <c r="HT36" s="1"/>
    </row>
    <row r="37" spans="1:228" ht="14.65" customHeight="1" x14ac:dyDescent="0.2">
      <c r="A37" s="351" t="s">
        <v>280</v>
      </c>
      <c r="B37" s="352">
        <v>0.05</v>
      </c>
      <c r="C37" s="330">
        <f t="shared" ref="C37:F37" si="17">ROUND(((C$17+C$21+C$22)/(1-$B35))*$B37,2)</f>
        <v>131.77000000000001</v>
      </c>
      <c r="D37" s="330">
        <f t="shared" si="17"/>
        <v>129.5</v>
      </c>
      <c r="E37" s="330">
        <f t="shared" si="17"/>
        <v>57.49</v>
      </c>
      <c r="F37" s="330">
        <f t="shared" si="17"/>
        <v>57.49</v>
      </c>
      <c r="AB37" s="204"/>
      <c r="AC37" s="204"/>
      <c r="AD37" s="204"/>
      <c r="HR37" s="1"/>
      <c r="HS37" s="1"/>
      <c r="HT37" s="1"/>
    </row>
    <row r="38" spans="1:228" ht="14.65" customHeight="1" x14ac:dyDescent="0.2">
      <c r="A38" s="673" t="s">
        <v>285</v>
      </c>
      <c r="B38" s="353">
        <v>0.02</v>
      </c>
      <c r="C38" s="354">
        <f t="shared" ref="C38:F38" si="18">C$21+C$22+C23</f>
        <v>467.23290663212231</v>
      </c>
      <c r="D38" s="354">
        <f t="shared" si="18"/>
        <v>459.19262438909493</v>
      </c>
      <c r="E38" s="354">
        <f t="shared" si="18"/>
        <v>203.8445504327857</v>
      </c>
      <c r="F38" s="354">
        <f t="shared" si="18"/>
        <v>203.8445504327857</v>
      </c>
      <c r="G38" s="334"/>
      <c r="AB38" s="204"/>
      <c r="AC38" s="204"/>
      <c r="AD38" s="204"/>
      <c r="HR38" s="1"/>
      <c r="HS38" s="1"/>
      <c r="HT38" s="1"/>
    </row>
    <row r="39" spans="1:228" ht="14.65" customHeight="1" x14ac:dyDescent="0.2">
      <c r="A39" s="673"/>
      <c r="B39" s="353">
        <v>0.03</v>
      </c>
      <c r="C39" s="354">
        <f t="shared" ref="C39:F39" si="19">C$21+C$22+C26</f>
        <v>494.56612430319979</v>
      </c>
      <c r="D39" s="354">
        <f t="shared" si="19"/>
        <v>486.0555817413557</v>
      </c>
      <c r="E39" s="354">
        <f t="shared" si="19"/>
        <v>215.76932690590965</v>
      </c>
      <c r="F39" s="354">
        <f t="shared" si="19"/>
        <v>215.76932690590965</v>
      </c>
      <c r="AB39" s="204"/>
      <c r="AC39" s="204"/>
      <c r="AD39" s="204"/>
      <c r="HR39" s="1"/>
      <c r="HS39" s="1"/>
      <c r="HT39" s="1"/>
    </row>
    <row r="40" spans="1:228" ht="14.65" customHeight="1" x14ac:dyDescent="0.2">
      <c r="A40" s="673"/>
      <c r="B40" s="353">
        <v>3.5000000000000003E-2</v>
      </c>
      <c r="C40" s="354">
        <f t="shared" ref="C40:F40" si="20">C$21+C$22+C29</f>
        <v>508.45351841879574</v>
      </c>
      <c r="D40" s="354">
        <f t="shared" si="20"/>
        <v>499.70404714892601</v>
      </c>
      <c r="E40" s="354">
        <f t="shared" si="20"/>
        <v>221.82803805420929</v>
      </c>
      <c r="F40" s="354">
        <f t="shared" si="20"/>
        <v>221.82803805420929</v>
      </c>
      <c r="AB40" s="204"/>
      <c r="AC40" s="204"/>
      <c r="AD40" s="204"/>
      <c r="HR40" s="1"/>
      <c r="HS40" s="1"/>
      <c r="HT40" s="1"/>
    </row>
    <row r="41" spans="1:228" ht="14.65" customHeight="1" x14ac:dyDescent="0.2">
      <c r="A41" s="673"/>
      <c r="B41" s="353">
        <v>0.04</v>
      </c>
      <c r="C41" s="354">
        <f t="shared" ref="C41:F41" si="21">C$21+C$22+C32</f>
        <v>522.49129038079764</v>
      </c>
      <c r="D41" s="354">
        <f t="shared" si="21"/>
        <v>513.50030319436928</v>
      </c>
      <c r="E41" s="354">
        <f t="shared" si="21"/>
        <v>227.95235517054681</v>
      </c>
      <c r="F41" s="354">
        <f t="shared" si="21"/>
        <v>227.95235517054681</v>
      </c>
      <c r="AB41" s="204"/>
      <c r="AC41" s="204"/>
      <c r="AD41" s="204"/>
      <c r="HR41" s="1"/>
      <c r="HS41" s="1"/>
      <c r="HT41" s="1"/>
    </row>
    <row r="42" spans="1:228" ht="14.65" customHeight="1" x14ac:dyDescent="0.2">
      <c r="A42" s="673"/>
      <c r="B42" s="355">
        <v>0.05</v>
      </c>
      <c r="C42" s="354">
        <f t="shared" ref="C42:F42" si="22">C$21+C$22+C35</f>
        <v>551.02784487826625</v>
      </c>
      <c r="D42" s="354">
        <f t="shared" si="22"/>
        <v>541.54589430152646</v>
      </c>
      <c r="E42" s="354">
        <f t="shared" si="22"/>
        <v>240.40211640211638</v>
      </c>
      <c r="F42" s="354">
        <f t="shared" si="22"/>
        <v>240.40211640211638</v>
      </c>
      <c r="AB42" s="204"/>
      <c r="AC42" s="204"/>
      <c r="AD42" s="204"/>
      <c r="HR42" s="1"/>
      <c r="HS42" s="1"/>
      <c r="HT42" s="1"/>
    </row>
    <row r="43" spans="1:228" ht="14.65" customHeight="1" x14ac:dyDescent="0.2">
      <c r="A43" s="356"/>
      <c r="B43" s="357"/>
      <c r="C43" s="358"/>
      <c r="D43" s="358"/>
      <c r="E43" s="358"/>
      <c r="F43" s="358"/>
      <c r="AB43" s="204"/>
      <c r="AC43" s="204"/>
      <c r="AD43" s="204"/>
      <c r="HR43" s="1"/>
      <c r="HS43" s="1"/>
      <c r="HT43" s="1"/>
    </row>
    <row r="44" spans="1:228" ht="15.75" customHeight="1" x14ac:dyDescent="0.2">
      <c r="A44" s="658" t="s">
        <v>490</v>
      </c>
      <c r="B44" s="658"/>
      <c r="C44" s="658"/>
      <c r="D44" s="658"/>
      <c r="E44" s="658"/>
      <c r="F44" s="658"/>
      <c r="AB44" s="204"/>
      <c r="AC44" s="204"/>
      <c r="AD44" s="204"/>
      <c r="HR44" s="1"/>
      <c r="HS44" s="1"/>
      <c r="HT44" s="1"/>
    </row>
    <row r="45" spans="1:228" ht="15.75" customHeight="1" x14ac:dyDescent="0.2">
      <c r="A45" s="674" t="s">
        <v>456</v>
      </c>
      <c r="B45" s="674"/>
      <c r="C45" s="674"/>
      <c r="D45" s="674"/>
      <c r="E45" s="674"/>
      <c r="F45" s="674"/>
      <c r="AB45" s="204"/>
      <c r="AC45" s="204"/>
      <c r="AD45" s="204"/>
      <c r="HR45" s="1"/>
      <c r="HS45" s="1"/>
      <c r="HT45" s="1"/>
    </row>
    <row r="46" spans="1:228" ht="14.65" customHeight="1" x14ac:dyDescent="0.2">
      <c r="A46" s="675" t="s">
        <v>293</v>
      </c>
      <c r="B46" s="364" t="s">
        <v>252</v>
      </c>
      <c r="C46" s="365">
        <f t="shared" ref="C46:F50" si="23">TRUNC((C$17+C38),2)</f>
        <v>2551.5500000000002</v>
      </c>
      <c r="D46" s="365">
        <f t="shared" si="23"/>
        <v>2507.65</v>
      </c>
      <c r="E46" s="365">
        <f t="shared" si="23"/>
        <v>1113.17</v>
      </c>
      <c r="F46" s="365">
        <f t="shared" si="23"/>
        <v>1113.17</v>
      </c>
      <c r="AB46" s="204"/>
      <c r="AC46" s="204"/>
      <c r="AD46" s="204"/>
      <c r="HR46" s="1"/>
      <c r="HS46" s="1"/>
      <c r="HT46" s="1"/>
    </row>
    <row r="47" spans="1:228" ht="14.65" customHeight="1" x14ac:dyDescent="0.2">
      <c r="A47" s="675"/>
      <c r="B47" s="364" t="s">
        <v>246</v>
      </c>
      <c r="C47" s="365">
        <f t="shared" si="23"/>
        <v>2578.88</v>
      </c>
      <c r="D47" s="365">
        <f t="shared" si="23"/>
        <v>2534.52</v>
      </c>
      <c r="E47" s="365">
        <f t="shared" si="23"/>
        <v>1125.0999999999999</v>
      </c>
      <c r="F47" s="365">
        <f t="shared" si="23"/>
        <v>1125.0999999999999</v>
      </c>
      <c r="AB47" s="204"/>
      <c r="AC47" s="204"/>
      <c r="AD47" s="204"/>
      <c r="HR47" s="1"/>
      <c r="HS47" s="1"/>
      <c r="HT47" s="1"/>
    </row>
    <row r="48" spans="1:228" ht="14.65" customHeight="1" x14ac:dyDescent="0.2">
      <c r="A48" s="675"/>
      <c r="B48" s="364" t="s">
        <v>257</v>
      </c>
      <c r="C48" s="365">
        <f t="shared" si="23"/>
        <v>2592.77</v>
      </c>
      <c r="D48" s="365">
        <f t="shared" si="23"/>
        <v>2548.16</v>
      </c>
      <c r="E48" s="365">
        <f t="shared" si="23"/>
        <v>1131.1600000000001</v>
      </c>
      <c r="F48" s="365">
        <f t="shared" si="23"/>
        <v>1131.1600000000001</v>
      </c>
      <c r="AB48" s="204"/>
      <c r="AC48" s="204"/>
      <c r="AD48" s="204"/>
      <c r="HR48" s="1"/>
      <c r="HS48" s="1"/>
      <c r="HT48" s="1"/>
    </row>
    <row r="49" spans="1:251" ht="14.65" customHeight="1" x14ac:dyDescent="0.2">
      <c r="A49" s="675"/>
      <c r="B49" s="364" t="s">
        <v>258</v>
      </c>
      <c r="C49" s="365">
        <f t="shared" si="23"/>
        <v>2606.81</v>
      </c>
      <c r="D49" s="365">
        <f t="shared" si="23"/>
        <v>2561.96</v>
      </c>
      <c r="E49" s="365">
        <f t="shared" si="23"/>
        <v>1137.28</v>
      </c>
      <c r="F49" s="365">
        <f t="shared" si="23"/>
        <v>1137.28</v>
      </c>
      <c r="AB49" s="204"/>
      <c r="AC49" s="204"/>
      <c r="AD49" s="204"/>
      <c r="HR49" s="1"/>
      <c r="HS49" s="1"/>
      <c r="HT49" s="1"/>
    </row>
    <row r="50" spans="1:251" ht="14.65" customHeight="1" x14ac:dyDescent="0.2">
      <c r="A50" s="675"/>
      <c r="B50" s="364" t="s">
        <v>247</v>
      </c>
      <c r="C50" s="365">
        <f t="shared" si="23"/>
        <v>2635.35</v>
      </c>
      <c r="D50" s="365">
        <f t="shared" si="23"/>
        <v>2590.0100000000002</v>
      </c>
      <c r="E50" s="365">
        <f t="shared" si="23"/>
        <v>1149.73</v>
      </c>
      <c r="F50" s="365">
        <f t="shared" si="23"/>
        <v>1149.73</v>
      </c>
      <c r="AB50" s="204"/>
      <c r="AC50" s="204"/>
      <c r="AD50" s="204"/>
      <c r="HR50" s="1"/>
      <c r="HS50" s="1"/>
      <c r="HT50" s="1"/>
    </row>
    <row r="51" spans="1:251" ht="14.65" customHeight="1" x14ac:dyDescent="0.2">
      <c r="AB51" s="204"/>
      <c r="AC51" s="204"/>
      <c r="AD51" s="204"/>
      <c r="HR51" s="1"/>
      <c r="HS51" s="1"/>
      <c r="HT51" s="1"/>
    </row>
    <row r="52" spans="1:251" ht="42.95" customHeight="1" x14ac:dyDescent="0.2">
      <c r="A52" s="670" t="s">
        <v>248</v>
      </c>
      <c r="B52" s="671"/>
      <c r="C52" s="671"/>
      <c r="D52" s="671"/>
      <c r="E52" s="671"/>
      <c r="F52" s="672"/>
      <c r="G52" s="369"/>
      <c r="H52" s="369"/>
      <c r="I52" s="369"/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70"/>
      <c r="AC52" s="370"/>
      <c r="AD52" s="370"/>
      <c r="AE52" s="370"/>
      <c r="AF52" s="370"/>
      <c r="AG52" s="370"/>
      <c r="AH52" s="370"/>
      <c r="AI52" s="370"/>
      <c r="AJ52" s="370"/>
      <c r="AK52" s="370"/>
      <c r="AL52" s="370"/>
      <c r="AM52" s="370"/>
      <c r="AN52" s="370"/>
      <c r="AO52" s="370"/>
      <c r="AP52" s="370"/>
      <c r="AQ52" s="370"/>
      <c r="AR52" s="370"/>
      <c r="AS52" s="370"/>
      <c r="AT52" s="370"/>
      <c r="AU52" s="370"/>
      <c r="AV52" s="370"/>
      <c r="AW52" s="370"/>
      <c r="AX52" s="370"/>
      <c r="AY52" s="370"/>
      <c r="AZ52" s="370"/>
      <c r="BA52" s="370"/>
      <c r="BB52" s="370"/>
      <c r="BC52" s="370"/>
      <c r="BD52" s="370"/>
      <c r="BE52" s="370"/>
      <c r="BF52" s="370"/>
      <c r="BG52" s="370"/>
      <c r="BH52" s="370"/>
      <c r="BI52" s="370"/>
      <c r="BJ52" s="370"/>
      <c r="HR52" s="371"/>
      <c r="HS52" s="371"/>
      <c r="HT52" s="371"/>
      <c r="HU52" s="371"/>
      <c r="HV52" s="371"/>
      <c r="HW52" s="371"/>
      <c r="HX52" s="371"/>
      <c r="HY52" s="371"/>
      <c r="HZ52" s="371"/>
      <c r="IA52" s="371"/>
      <c r="IB52" s="371"/>
      <c r="IC52" s="371"/>
      <c r="ID52" s="371"/>
      <c r="IE52" s="371"/>
      <c r="IF52" s="371"/>
      <c r="IG52" s="371"/>
      <c r="IH52" s="371"/>
      <c r="II52" s="371"/>
      <c r="IJ52" s="371"/>
      <c r="IK52" s="371"/>
      <c r="IL52" s="371"/>
      <c r="IM52" s="371"/>
      <c r="IN52" s="371"/>
      <c r="IO52" s="371"/>
      <c r="IP52" s="371"/>
      <c r="IQ52" s="371"/>
    </row>
  </sheetData>
  <mergeCells count="16">
    <mergeCell ref="A1:F1"/>
    <mergeCell ref="A2:F2"/>
    <mergeCell ref="A3:F3"/>
    <mergeCell ref="A4:F4"/>
    <mergeCell ref="A6:F6"/>
    <mergeCell ref="A7:B8"/>
    <mergeCell ref="C7:D7"/>
    <mergeCell ref="E7:F7"/>
    <mergeCell ref="A52:F52"/>
    <mergeCell ref="A19:F19"/>
    <mergeCell ref="A38:A42"/>
    <mergeCell ref="A44:F44"/>
    <mergeCell ref="A45:F45"/>
    <mergeCell ref="A46:A50"/>
    <mergeCell ref="E10:E16"/>
    <mergeCell ref="F10:F16"/>
  </mergeCells>
  <pageMargins left="0.78740157480314954" right="0.78740157480314954" top="1.1511811023622047" bottom="1.1511811023622047" header="0.78740157480314954" footer="0.78740157480314954"/>
  <pageSetup paperSize="0" fitToWidth="0" fitToHeight="0" orientation="portrait" horizontalDpi="0" verticalDpi="0" copies="0"/>
  <headerFooter alignWithMargins="0">
    <oddHeader>&amp;C&amp;"Times New Roman1,Regular"&amp;12&amp;A</oddHeader>
    <oddFooter>&amp;C&amp;"Times New Roman1,Regular"&amp;12Página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Proposta</vt:lpstr>
      <vt:lpstr>Formação de Preços</vt:lpstr>
      <vt:lpstr>Informações e Quantidades</vt:lpstr>
      <vt:lpstr>PR -1</vt:lpstr>
      <vt:lpstr>PR - 2</vt:lpstr>
      <vt:lpstr>RS - 1</vt:lpstr>
      <vt:lpstr>RS -2</vt:lpstr>
      <vt:lpstr>RS -STM</vt:lpstr>
      <vt:lpstr>Veículos - Custo Fixo</vt:lpstr>
      <vt:lpstr>Veículos - Custo Variável</vt:lpstr>
      <vt:lpstr>Valores e modelos Veículos</vt:lpstr>
      <vt:lpstr>VT, Uniforme e Plano Celular</vt:lpstr>
      <vt:lpstr>Pernoite, Alimentação e HE</vt:lpstr>
      <vt:lpstr>Combustíveis e Pedágios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inss</dc:creator>
  <cp:lastModifiedBy>w10</cp:lastModifiedBy>
  <cp:revision>8</cp:revision>
  <dcterms:created xsi:type="dcterms:W3CDTF">2022-10-27T19:53:10Z</dcterms:created>
  <dcterms:modified xsi:type="dcterms:W3CDTF">2023-03-03T11:57:19Z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